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0" yWindow="65326" windowWidth="15300" windowHeight="8715" tabRatio="790" activeTab="0"/>
  </bookViews>
  <sheets>
    <sheet name="7030 Ballast Calculator" sheetId="1" r:id="rId1"/>
    <sheet name="7030 Wheel Data Sheet" sheetId="2" state="hidden" r:id="rId2"/>
  </sheets>
  <definedNames>
    <definedName name="_xlnm.Print_Area" localSheetId="0">'7030 Ballast Calculator'!$A$1:$L$59</definedName>
  </definedNames>
  <calcPr fullCalcOnLoad="1"/>
</workbook>
</file>

<file path=xl/comments2.xml><?xml version="1.0" encoding="utf-8"?>
<comments xmlns="http://schemas.openxmlformats.org/spreadsheetml/2006/main">
  <authors>
    <author>John E Nees</author>
  </authors>
  <commentList>
    <comment ref="L16" authorId="0">
      <text>
        <r>
          <rPr>
            <b/>
            <sz val="8"/>
            <rFont val="Tahoma"/>
            <family val="0"/>
          </rPr>
          <t>John E Nees:</t>
        </r>
        <r>
          <rPr>
            <sz val="8"/>
            <rFont val="Tahoma"/>
            <family val="0"/>
          </rPr>
          <t xml:space="preserve">
Base weight of tractor was determined w/ 380/80 R46 single rear tires and 2wd front tires
</t>
        </r>
      </text>
    </comment>
    <comment ref="J12" authorId="0">
      <text>
        <r>
          <rPr>
            <b/>
            <sz val="8"/>
            <rFont val="Tahoma"/>
            <family val="0"/>
          </rPr>
          <t>John E Nees:</t>
        </r>
        <r>
          <rPr>
            <sz val="8"/>
            <rFont val="Tahoma"/>
            <family val="0"/>
          </rPr>
          <t xml:space="preserve">
Base Weight of Tractor was determined w/ following
2wd front axle and tires
380/80 R46 Single Rear tires</t>
        </r>
      </text>
    </comment>
  </commentList>
</comments>
</file>

<file path=xl/sharedStrings.xml><?xml version="1.0" encoding="utf-8"?>
<sst xmlns="http://schemas.openxmlformats.org/spreadsheetml/2006/main" count="771" uniqueCount="171">
  <si>
    <t xml:space="preserve"> </t>
  </si>
  <si>
    <t>2WD</t>
  </si>
  <si>
    <t>Lb./Rear</t>
  </si>
  <si>
    <t>Lb./Front</t>
  </si>
  <si>
    <t>Code</t>
  </si>
  <si>
    <t>Front</t>
  </si>
  <si>
    <t>Rear</t>
  </si>
  <si>
    <t>Rear - 165 lb. per Side</t>
  </si>
  <si>
    <t>Rear - 450 lb. per Side</t>
  </si>
  <si>
    <t>Vehicle Weight</t>
  </si>
  <si>
    <t>2wd</t>
  </si>
  <si>
    <t>Rear - 1400 lb. per Side</t>
  </si>
  <si>
    <t>Lb/PTO Hp</t>
  </si>
  <si>
    <t>Tractor Model</t>
  </si>
  <si>
    <t>Ballast Codes</t>
  </si>
  <si>
    <t>Rear psi</t>
  </si>
  <si>
    <t>Front psi</t>
  </si>
  <si>
    <t>Rear 450 lb.   per Side</t>
  </si>
  <si>
    <t>Rear 165 lb. per Side</t>
  </si>
  <si>
    <t>Front Tire Data</t>
  </si>
  <si>
    <t>Rear 1400 lb. per Side</t>
  </si>
  <si>
    <t>Yes</t>
  </si>
  <si>
    <t>No</t>
  </si>
  <si>
    <t>Front Axle</t>
  </si>
  <si>
    <t>BASE TRACTOR WEIGHT</t>
  </si>
  <si>
    <t>Ballast Code</t>
  </si>
  <si>
    <t>480/80R46</t>
  </si>
  <si>
    <t>520/85R42</t>
  </si>
  <si>
    <t>710/70R38</t>
  </si>
  <si>
    <t>380/90R54</t>
  </si>
  <si>
    <t>480/80R50</t>
  </si>
  <si>
    <t>520/85R46</t>
  </si>
  <si>
    <t>650/85R38</t>
  </si>
  <si>
    <t>620/70R46</t>
  </si>
  <si>
    <t>710/70R42</t>
  </si>
  <si>
    <t>800/70R38</t>
  </si>
  <si>
    <t>Rear Duals (Yes or No)</t>
  </si>
  <si>
    <t>Transmission</t>
  </si>
  <si>
    <t>Base Weight</t>
  </si>
  <si>
    <t>front</t>
  </si>
  <si>
    <t>rear</t>
  </si>
  <si>
    <t>front wgts</t>
  </si>
  <si>
    <t>Frt wht support</t>
  </si>
  <si>
    <t>420/90R30</t>
  </si>
  <si>
    <t>16.9R30</t>
  </si>
  <si>
    <t>480/70R30</t>
  </si>
  <si>
    <t>290/90R38</t>
  </si>
  <si>
    <t>320/85R38</t>
  </si>
  <si>
    <t>380/85R34</t>
  </si>
  <si>
    <t>600/65R28</t>
  </si>
  <si>
    <t>320/80R42</t>
  </si>
  <si>
    <t>380/80R38</t>
  </si>
  <si>
    <t>420/85R34</t>
  </si>
  <si>
    <t>480/70R34</t>
  </si>
  <si>
    <t>540/65R34</t>
  </si>
  <si>
    <t>600/70R30</t>
  </si>
  <si>
    <t>-</t>
  </si>
  <si>
    <t>620/70R42</t>
  </si>
  <si>
    <t>320/90R54</t>
  </si>
  <si>
    <t>380/90R50</t>
  </si>
  <si>
    <t>Front Weights - 104 lb. each</t>
  </si>
  <si>
    <t>14.9R34</t>
  </si>
  <si>
    <t>Increased weights from Base Weight</t>
  </si>
  <si>
    <t>Recommended PSI</t>
  </si>
  <si>
    <t>NONE</t>
  </si>
  <si>
    <t>LIGHT
120</t>
  </si>
  <si>
    <t>MEDIUM
130</t>
  </si>
  <si>
    <t>Recommended Ballast Code/s</t>
  </si>
  <si>
    <t>RCI</t>
  </si>
  <si>
    <t>Size</t>
  </si>
  <si>
    <t xml:space="preserve"> GRAND TOTAL</t>
  </si>
  <si>
    <t>Front Weights
104 lb.</t>
  </si>
  <si>
    <t>Rear Duals</t>
  </si>
  <si>
    <t>Cast</t>
  </si>
  <si>
    <t xml:space="preserve">AQ+ </t>
  </si>
  <si>
    <t>PQ+</t>
  </si>
  <si>
    <t>TLS</t>
  </si>
  <si>
    <t xml:space="preserve">7030 BALLAST CALCULATOR </t>
  </si>
  <si>
    <t>Rear Wheel Type</t>
  </si>
  <si>
    <t>Steel</t>
  </si>
  <si>
    <t>320/90R50</t>
  </si>
  <si>
    <t>380/80R46</t>
  </si>
  <si>
    <t>420/80R46</t>
  </si>
  <si>
    <t>480/80R42</t>
  </si>
  <si>
    <t>520/85R38</t>
  </si>
  <si>
    <t>N/A</t>
  </si>
  <si>
    <t>Singles</t>
  </si>
  <si>
    <t>Duals</t>
  </si>
  <si>
    <t>Axle</t>
  </si>
  <si>
    <t>Selected config.</t>
  </si>
  <si>
    <t>11.00-16, 12PR</t>
  </si>
  <si>
    <t>16.5L16.1, 8PR</t>
  </si>
  <si>
    <t>14L-16.1, 10PR</t>
  </si>
  <si>
    <t>11.00-20, 12PR</t>
  </si>
  <si>
    <t>11.00-24, 12PR</t>
  </si>
  <si>
    <t>14.9R30</t>
  </si>
  <si>
    <t>380/85R30</t>
  </si>
  <si>
    <t>16.9R28</t>
  </si>
  <si>
    <t>290/95R34</t>
  </si>
  <si>
    <t>320/85R34</t>
  </si>
  <si>
    <t>420/85R28</t>
  </si>
  <si>
    <t>480/70R28</t>
  </si>
  <si>
    <t>STEEL</t>
  </si>
  <si>
    <t>CAST</t>
  </si>
  <si>
    <t>18.4-42, 10PR</t>
  </si>
  <si>
    <t>20.8-38, 8PR</t>
  </si>
  <si>
    <t>Recommended Front Tire Pressures According to Weight</t>
  </si>
  <si>
    <t>11.00-16, 8PR</t>
  </si>
  <si>
    <t>Recommended Rear Tire Pressures According to Weight</t>
  </si>
  <si>
    <t>HEAVY
145</t>
  </si>
  <si>
    <t>Loader</t>
  </si>
  <si>
    <t>Drawn</t>
  </si>
  <si>
    <t>Integral</t>
  </si>
  <si>
    <t>TWO-WHEEL DRIVE</t>
  </si>
  <si>
    <t>MFWD</t>
  </si>
  <si>
    <t>Support</t>
  </si>
  <si>
    <t>Implement Codes</t>
  </si>
  <si>
    <t>Weights to Add</t>
  </si>
  <si>
    <t>Weight Codes</t>
  </si>
  <si>
    <t>Recommended ballast for loaders</t>
  </si>
  <si>
    <t>Recommended Balast for Integral Implements</t>
  </si>
  <si>
    <t>cast wheels</t>
  </si>
  <si>
    <t>steel wheels</t>
  </si>
  <si>
    <t>Selected</t>
  </si>
  <si>
    <t>Front Support
153 lb.</t>
  </si>
  <si>
    <t>CAST- INNER</t>
  </si>
  <si>
    <t>STEEL - NO DUALS</t>
  </si>
  <si>
    <t>CAST - NO DUALS</t>
  </si>
  <si>
    <t>STEEL - INNER</t>
  </si>
  <si>
    <t>REAR WHEELS</t>
  </si>
  <si>
    <t>DUALS</t>
  </si>
  <si>
    <t>Rear Singles</t>
  </si>
  <si>
    <t>Cast Wheels</t>
  </si>
  <si>
    <t>Steel Wheels</t>
  </si>
  <si>
    <t>9416 &amp; 9264</t>
  </si>
  <si>
    <t>9420 &amp; 9228</t>
  </si>
  <si>
    <t>9412 &amp; 9264</t>
  </si>
  <si>
    <t>9416 &amp; 9228</t>
  </si>
  <si>
    <t>9416 &amp; 9295</t>
  </si>
  <si>
    <t>9420 &amp; 9278</t>
  </si>
  <si>
    <t>9412 &amp; 9295</t>
  </si>
  <si>
    <t>9416 &amp; 9278</t>
  </si>
  <si>
    <t>9420, 9278 &amp; 9283</t>
  </si>
  <si>
    <t>Ballast Calculator Instructions:</t>
  </si>
  <si>
    <t>Front Tire Size</t>
  </si>
  <si>
    <t>Rear Tire Size</t>
  </si>
  <si>
    <t xml:space="preserve">      - If Loader, nothing further is necessary in this section</t>
  </si>
  <si>
    <t xml:space="preserve">      - If Drawn, continue by selecting the "Ballast Level": Light, Medium, or Heavy</t>
  </si>
  <si>
    <t>1.</t>
  </si>
  <si>
    <t>2.</t>
  </si>
  <si>
    <t>3.</t>
  </si>
  <si>
    <t>4.</t>
  </si>
  <si>
    <t>5.</t>
  </si>
  <si>
    <t>6.</t>
  </si>
  <si>
    <t>Use the drop down menus to fill in your tractor configuration, including; Model, Front Axle, Transmission, Tires, and Duals.</t>
  </si>
  <si>
    <t>Determine the tractor's main use and select using the drop down menu; Drawn, Integral, or Loader</t>
  </si>
  <si>
    <t>This calculator is to be used to estimate the correct amount of ballast for a specific tractor with certain types of implements.  The recommended order codes and tire inflation are offered as starting points when ballasting for operations with several common types of implements.  Some deviations may be needed for specific circumstances.  For complete information on Performance Ballasting refer to the tractor's Operators Manual.</t>
  </si>
  <si>
    <t>Note: This calculator will allow you to select unorderable configurations.  This calculator is for the sole use of calculating the optimal weight and tire pressure for optimizing a tractor's performance.</t>
  </si>
  <si>
    <t>Review the yellow shaded boxes at the bottom of the page.  These boxes will show you: Weight Split, Total Vehicle Weight, Pounds per PTO Horsepower, and a recommended Tire Pressure.  Use the recommended ballast codes when ordering your tractor.</t>
  </si>
  <si>
    <t>7030 BALLAST CALCULATOR</t>
  </si>
  <si>
    <t>Optional: FIELD INSTALLED WEIGHTS</t>
  </si>
  <si>
    <t>~Scroll Down to use Ballast Calculator</t>
  </si>
  <si>
    <t xml:space="preserve">      - Notice the numbers in the columns on the right, this is totaling your tractor's base weight, without any added ballast</t>
  </si>
  <si>
    <t>Use the drop down menus to the right of the yellow shaded box to select each of the ballast codes that are recommended for factory installation (9000 Codes).</t>
  </si>
  <si>
    <r>
      <t>(Optional:</t>
    </r>
    <r>
      <rPr>
        <sz val="11"/>
        <rFont val="Arial"/>
        <family val="0"/>
      </rPr>
      <t xml:space="preserve"> If Field Installing Weights</t>
    </r>
    <r>
      <rPr>
        <b/>
        <sz val="11"/>
        <rFont val="Arial"/>
        <family val="2"/>
      </rPr>
      <t>)</t>
    </r>
    <r>
      <rPr>
        <sz val="11"/>
        <rFont val="Arial"/>
        <family val="0"/>
      </rPr>
      <t xml:space="preserve"> Use the drop down menus in the "Field Installed Weights" section to add ballast to tractor.</t>
    </r>
  </si>
  <si>
    <t>After making the above selections, the recommended ballast codes appear in the yellow shaded box marked, 
"Recommended Ballast Code/s".</t>
  </si>
  <si>
    <t>Front Weight Support - 153 lb.</t>
  </si>
  <si>
    <t>Implement Type or Loader</t>
  </si>
  <si>
    <t xml:space="preserve">      - If Integral, continue by selecting the Implement Code.  For more information on Implement Codes reference your 
        Implement Operator's Manual. </t>
  </si>
  <si>
    <t>John Deere Implement Operator's Manual can be found at:</t>
  </si>
  <si>
    <t>http://www.deere.com/servlet/com.deere.u90785.productcatalog.view.servlets.PublicationsSearchServlet?tM=FR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</si>
</sst>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28">
    <font>
      <sz val="10"/>
      <name val="Arial"/>
      <family val="0"/>
    </font>
    <font>
      <b/>
      <sz val="10"/>
      <name val="Arial"/>
      <family val="0"/>
    </font>
    <font>
      <i/>
      <sz val="10"/>
      <name val="Arial"/>
      <family val="0"/>
    </font>
    <font>
      <b/>
      <i/>
      <sz val="10"/>
      <name val="Arial"/>
      <family val="0"/>
    </font>
    <font>
      <sz val="7"/>
      <name val="Arial"/>
      <family val="2"/>
    </font>
    <font>
      <sz val="10"/>
      <color indexed="10"/>
      <name val="Arial"/>
      <family val="2"/>
    </font>
    <font>
      <b/>
      <sz val="10"/>
      <name val="Geneva"/>
      <family val="0"/>
    </font>
    <font>
      <sz val="8"/>
      <name val="Arial"/>
      <family val="2"/>
    </font>
    <font>
      <b/>
      <sz val="14"/>
      <name val="Arial"/>
      <family val="2"/>
    </font>
    <font>
      <sz val="10"/>
      <color indexed="8"/>
      <name val="Arial"/>
      <family val="2"/>
    </font>
    <font>
      <b/>
      <sz val="10"/>
      <color indexed="8"/>
      <name val="Arial"/>
      <family val="0"/>
    </font>
    <font>
      <sz val="7"/>
      <color indexed="8"/>
      <name val="Arial"/>
      <family val="2"/>
    </font>
    <font>
      <b/>
      <sz val="10"/>
      <color indexed="10"/>
      <name val="Arial"/>
      <family val="2"/>
    </font>
    <font>
      <b/>
      <sz val="12"/>
      <name val="Arial"/>
      <family val="2"/>
    </font>
    <font>
      <sz val="10"/>
      <color indexed="58"/>
      <name val="Arial"/>
      <family val="2"/>
    </font>
    <font>
      <b/>
      <sz val="8"/>
      <name val="Arial"/>
      <family val="2"/>
    </font>
    <font>
      <b/>
      <sz val="8"/>
      <color indexed="10"/>
      <name val="Arial"/>
      <family val="2"/>
    </font>
    <font>
      <sz val="8"/>
      <name val="Tahoma"/>
      <family val="2"/>
    </font>
    <font>
      <u val="single"/>
      <sz val="7.5"/>
      <color indexed="12"/>
      <name val="Arial"/>
      <family val="0"/>
    </font>
    <font>
      <u val="single"/>
      <sz val="7.5"/>
      <color indexed="36"/>
      <name val="Arial"/>
      <family val="0"/>
    </font>
    <font>
      <b/>
      <sz val="8"/>
      <name val="Tahoma"/>
      <family val="0"/>
    </font>
    <font>
      <sz val="8"/>
      <color indexed="10"/>
      <name val="Arial"/>
      <family val="2"/>
    </font>
    <font>
      <sz val="16"/>
      <name val="Arial"/>
      <family val="0"/>
    </font>
    <font>
      <b/>
      <sz val="11"/>
      <name val="Arial"/>
      <family val="2"/>
    </font>
    <font>
      <b/>
      <u val="single"/>
      <sz val="20"/>
      <name val="Arial"/>
      <family val="2"/>
    </font>
    <font>
      <sz val="11"/>
      <name val="Arial"/>
      <family val="0"/>
    </font>
    <font>
      <b/>
      <sz val="11"/>
      <color indexed="10"/>
      <name val="Arial"/>
      <family val="2"/>
    </font>
    <font>
      <u val="single"/>
      <sz val="11"/>
      <color indexed="12"/>
      <name val="Arial"/>
      <family val="0"/>
    </font>
  </fonts>
  <fills count="10">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33">
    <border>
      <left/>
      <right/>
      <top/>
      <bottom/>
      <diagonal/>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81">
    <xf numFmtId="0" fontId="0" fillId="0" borderId="0" xfId="0" applyAlignment="1">
      <alignment/>
    </xf>
    <xf numFmtId="0" fontId="4"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1"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Border="1" applyAlignment="1" applyProtection="1">
      <alignment horizontal="centerContinuous"/>
      <protection/>
    </xf>
    <xf numFmtId="0" fontId="6" fillId="0" borderId="0" xfId="0" applyFont="1" applyAlignment="1" applyProtection="1">
      <alignment horizontal="right"/>
      <protection/>
    </xf>
    <xf numFmtId="0" fontId="0" fillId="0" borderId="0" xfId="0" applyBorder="1" applyAlignment="1">
      <alignment/>
    </xf>
    <xf numFmtId="0" fontId="0" fillId="0" borderId="0" xfId="0" applyBorder="1" applyAlignment="1">
      <alignment horizontal="center"/>
    </xf>
    <xf numFmtId="0" fontId="1" fillId="0" borderId="0" xfId="0" applyFont="1" applyBorder="1" applyAlignment="1">
      <alignment/>
    </xf>
    <xf numFmtId="0" fontId="1" fillId="0" borderId="0" xfId="0" applyFont="1" applyBorder="1" applyAlignment="1" applyProtection="1">
      <alignment/>
      <protection/>
    </xf>
    <xf numFmtId="0" fontId="11" fillId="0" borderId="0" xfId="0" applyFont="1" applyAlignment="1" applyProtection="1">
      <alignment horizontal="center"/>
      <protection/>
    </xf>
    <xf numFmtId="0" fontId="9" fillId="0" borderId="0" xfId="0" applyFont="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wrapText="1"/>
      <protection/>
    </xf>
    <xf numFmtId="0" fontId="9" fillId="0" borderId="0" xfId="0" applyFont="1" applyAlignment="1" applyProtection="1">
      <alignment/>
      <protection/>
    </xf>
    <xf numFmtId="0" fontId="0" fillId="0" borderId="0" xfId="0" applyBorder="1" applyAlignment="1" applyProtection="1">
      <alignment horizontal="left"/>
      <protection/>
    </xf>
    <xf numFmtId="0" fontId="9"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9"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0" fillId="0" borderId="1" xfId="0" applyBorder="1" applyAlignment="1" applyProtection="1">
      <alignment/>
      <protection/>
    </xf>
    <xf numFmtId="0" fontId="0" fillId="0" borderId="1" xfId="0" applyBorder="1" applyAlignment="1">
      <alignment/>
    </xf>
    <xf numFmtId="0" fontId="0" fillId="0" borderId="0" xfId="0" applyAlignment="1">
      <alignment horizontal="center"/>
    </xf>
    <xf numFmtId="0" fontId="0" fillId="0" borderId="1" xfId="0" applyBorder="1" applyAlignment="1" applyProtection="1">
      <alignment horizontal="center"/>
      <protection/>
    </xf>
    <xf numFmtId="0" fontId="0" fillId="0" borderId="1" xfId="0" applyBorder="1" applyAlignment="1">
      <alignment horizontal="center"/>
    </xf>
    <xf numFmtId="0" fontId="0" fillId="0" borderId="1" xfId="0" applyFont="1" applyBorder="1" applyAlignment="1" applyProtection="1">
      <alignment horizontal="center"/>
      <protection/>
    </xf>
    <xf numFmtId="0" fontId="0" fillId="0" borderId="1" xfId="0" applyFont="1" applyBorder="1" applyAlignment="1" applyProtection="1">
      <alignment/>
      <protection/>
    </xf>
    <xf numFmtId="1" fontId="0" fillId="0" borderId="1" xfId="0" applyNumberFormat="1" applyBorder="1" applyAlignment="1" applyProtection="1">
      <alignment horizontal="center"/>
      <protection/>
    </xf>
    <xf numFmtId="0" fontId="0" fillId="0" borderId="1" xfId="0" applyBorder="1" applyAlignment="1">
      <alignment horizontal="left"/>
    </xf>
    <xf numFmtId="0" fontId="0" fillId="0" borderId="1" xfId="0" applyFill="1" applyBorder="1" applyAlignment="1">
      <alignment/>
    </xf>
    <xf numFmtId="0" fontId="8" fillId="0" borderId="0" xfId="0" applyFont="1" applyBorder="1" applyAlignment="1">
      <alignment horizontal="center"/>
    </xf>
    <xf numFmtId="0" fontId="0" fillId="0" borderId="0" xfId="0" applyBorder="1" applyAlignment="1">
      <alignment horizontal="left"/>
    </xf>
    <xf numFmtId="0" fontId="0" fillId="0" borderId="0" xfId="0" applyFill="1" applyBorder="1" applyAlignment="1">
      <alignment/>
    </xf>
    <xf numFmtId="0" fontId="13" fillId="0" borderId="0" xfId="0" applyFont="1" applyAlignment="1" applyProtection="1">
      <alignment horizontal="center" vertical="center"/>
      <protection/>
    </xf>
    <xf numFmtId="0" fontId="13" fillId="0" borderId="0" xfId="0" applyFont="1" applyAlignment="1" applyProtection="1">
      <alignment horizontal="center"/>
      <protection/>
    </xf>
    <xf numFmtId="0" fontId="0" fillId="0" borderId="0" xfId="0" applyAlignment="1">
      <alignment horizontal="right"/>
    </xf>
    <xf numFmtId="0" fontId="0" fillId="0" borderId="0" xfId="0" applyBorder="1" applyAlignment="1">
      <alignment/>
    </xf>
    <xf numFmtId="0" fontId="0" fillId="0" borderId="0" xfId="0" applyBorder="1" applyAlignment="1">
      <alignment horizontal="center" wrapText="1"/>
    </xf>
    <xf numFmtId="0" fontId="0" fillId="0" borderId="0" xfId="0" applyFill="1" applyBorder="1" applyAlignment="1">
      <alignment horizontal="left"/>
    </xf>
    <xf numFmtId="0" fontId="0" fillId="0" borderId="0" xfId="0" applyFill="1" applyBorder="1" applyAlignment="1">
      <alignment horizontal="center"/>
    </xf>
    <xf numFmtId="0" fontId="1" fillId="0" borderId="0" xfId="0" applyFont="1" applyBorder="1" applyAlignment="1">
      <alignment horizontal="center" wrapText="1"/>
    </xf>
    <xf numFmtId="0" fontId="0" fillId="0" borderId="0" xfId="0" applyBorder="1" applyAlignment="1">
      <alignment horizontal="center" vertical="top" wrapText="1"/>
    </xf>
    <xf numFmtId="0" fontId="13" fillId="0" borderId="0" xfId="0" applyFont="1" applyAlignment="1" applyProtection="1">
      <alignment vertical="center"/>
      <protection/>
    </xf>
    <xf numFmtId="0" fontId="0" fillId="0" borderId="0" xfId="0" applyBorder="1" applyAlignment="1" applyProtection="1">
      <alignment horizontal="center" vertical="justify"/>
      <protection/>
    </xf>
    <xf numFmtId="0" fontId="0" fillId="0" borderId="0" xfId="0" applyBorder="1" applyAlignment="1">
      <alignment horizontal="right"/>
    </xf>
    <xf numFmtId="0" fontId="0" fillId="0" borderId="1" xfId="0" applyFill="1" applyBorder="1" applyAlignment="1" applyProtection="1">
      <alignment horizontal="center"/>
      <protection/>
    </xf>
    <xf numFmtId="0" fontId="0" fillId="0" borderId="0" xfId="0" applyAlignment="1" applyProtection="1">
      <alignment vertical="top" wrapText="1"/>
      <protection/>
    </xf>
    <xf numFmtId="0" fontId="0" fillId="0" borderId="1" xfId="0" applyBorder="1" applyAlignment="1">
      <alignment horizontal="center" wrapText="1"/>
    </xf>
    <xf numFmtId="0" fontId="0" fillId="0" borderId="1" xfId="0" applyBorder="1" applyAlignment="1" applyProtection="1">
      <alignment horizontal="center" wrapText="1"/>
      <protection/>
    </xf>
    <xf numFmtId="0" fontId="14"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right" vertical="center"/>
      <protection/>
    </xf>
    <xf numFmtId="0" fontId="0" fillId="2" borderId="4" xfId="0" applyFont="1" applyFill="1" applyBorder="1" applyAlignment="1" applyProtection="1">
      <alignment horizontal="left" vertical="center"/>
      <protection/>
    </xf>
    <xf numFmtId="0" fontId="12" fillId="2" borderId="4" xfId="0" applyFont="1" applyFill="1" applyBorder="1" applyAlignment="1" applyProtection="1">
      <alignment horizontal="center" vertical="center"/>
      <protection/>
    </xf>
    <xf numFmtId="0" fontId="12" fillId="2" borderId="5" xfId="0" applyFont="1" applyFill="1" applyBorder="1" applyAlignment="1" applyProtection="1">
      <alignment horizontal="center" vertical="center"/>
      <protection/>
    </xf>
    <xf numFmtId="1" fontId="0" fillId="2" borderId="2" xfId="0" applyNumberFormat="1" applyFill="1" applyBorder="1" applyAlignment="1" applyProtection="1">
      <alignment horizontal="center"/>
      <protection/>
    </xf>
    <xf numFmtId="0" fontId="12" fillId="2" borderId="4" xfId="0" applyFont="1" applyFill="1" applyBorder="1" applyAlignment="1" applyProtection="1">
      <alignment vertical="center"/>
      <protection/>
    </xf>
    <xf numFmtId="0" fontId="0" fillId="2" borderId="4" xfId="0" applyFill="1" applyBorder="1" applyAlignment="1">
      <alignment vertical="center"/>
    </xf>
    <xf numFmtId="0" fontId="12" fillId="2" borderId="5" xfId="0" applyFont="1" applyFill="1" applyBorder="1" applyAlignment="1">
      <alignment horizontal="right" vertical="center"/>
    </xf>
    <xf numFmtId="0" fontId="12" fillId="2" borderId="4" xfId="0" applyFont="1" applyFill="1" applyBorder="1" applyAlignment="1" applyProtection="1">
      <alignment horizontal="left" vertical="center"/>
      <protection/>
    </xf>
    <xf numFmtId="0" fontId="12" fillId="2" borderId="4" xfId="0" applyFont="1" applyFill="1" applyBorder="1" applyAlignment="1">
      <alignment horizontal="right" vertical="center"/>
    </xf>
    <xf numFmtId="0" fontId="7" fillId="2" borderId="4" xfId="0" applyFont="1" applyFill="1" applyBorder="1" applyAlignment="1" applyProtection="1">
      <alignment horizontal="center" vertical="center"/>
      <protection/>
    </xf>
    <xf numFmtId="1" fontId="7" fillId="2" borderId="4" xfId="0"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xf>
    <xf numFmtId="0" fontId="16" fillId="2" borderId="4" xfId="0" applyFont="1" applyFill="1" applyBorder="1" applyAlignment="1" applyProtection="1">
      <alignment horizontal="center" vertical="center"/>
      <protection/>
    </xf>
    <xf numFmtId="0" fontId="0" fillId="2" borderId="2" xfId="0" applyFill="1" applyBorder="1" applyAlignment="1" applyProtection="1">
      <alignment horizontal="center"/>
      <protection/>
    </xf>
    <xf numFmtId="1" fontId="1" fillId="2" borderId="2" xfId="0" applyNumberFormat="1" applyFont="1" applyFill="1" applyBorder="1" applyAlignment="1" applyProtection="1">
      <alignment horizontal="center"/>
      <protection/>
    </xf>
    <xf numFmtId="0" fontId="1" fillId="2" borderId="6" xfId="0" applyFont="1" applyFill="1" applyBorder="1" applyAlignment="1" applyProtection="1">
      <alignment horizontal="right"/>
      <protection/>
    </xf>
    <xf numFmtId="0" fontId="1" fillId="2" borderId="5" xfId="0" applyFont="1" applyFill="1" applyBorder="1" applyAlignment="1">
      <alignment horizontal="right"/>
    </xf>
    <xf numFmtId="0" fontId="1" fillId="2" borderId="6" xfId="0" applyFont="1" applyFill="1" applyBorder="1" applyAlignment="1" applyProtection="1">
      <alignment horizontal="center" vertical="center" wrapText="1"/>
      <protection/>
    </xf>
    <xf numFmtId="0" fontId="7"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xf>
    <xf numFmtId="0" fontId="0" fillId="2" borderId="2" xfId="0" applyFill="1" applyBorder="1" applyAlignment="1" applyProtection="1">
      <alignment vertical="center" wrapText="1"/>
      <protection/>
    </xf>
    <xf numFmtId="0" fontId="1" fillId="2" borderId="2" xfId="0" applyFont="1" applyFill="1" applyBorder="1" applyAlignment="1" applyProtection="1">
      <alignment horizontal="center"/>
      <protection/>
    </xf>
    <xf numFmtId="1" fontId="1" fillId="2" borderId="2" xfId="0" applyNumberFormat="1" applyFont="1" applyFill="1" applyBorder="1" applyAlignment="1" applyProtection="1">
      <alignment horizontal="center" vertical="center" wrapText="1"/>
      <protection/>
    </xf>
    <xf numFmtId="0" fontId="1" fillId="2" borderId="2" xfId="0" applyFont="1" applyFill="1" applyBorder="1" applyAlignment="1" applyProtection="1">
      <alignment horizontal="center" vertical="center" wrapText="1"/>
      <protection/>
    </xf>
    <xf numFmtId="1" fontId="1" fillId="3" borderId="2" xfId="0" applyNumberFormat="1" applyFont="1" applyFill="1" applyBorder="1" applyAlignment="1" applyProtection="1">
      <alignment horizontal="center"/>
      <protection/>
    </xf>
    <xf numFmtId="1" fontId="10" fillId="3" borderId="2" xfId="0" applyNumberFormat="1" applyFont="1" applyFill="1" applyBorder="1" applyAlignment="1" applyProtection="1">
      <alignment horizontal="center"/>
      <protection/>
    </xf>
    <xf numFmtId="167" fontId="1" fillId="3" borderId="7" xfId="0" applyNumberFormat="1" applyFont="1" applyFill="1" applyBorder="1" applyAlignment="1" applyProtection="1">
      <alignment horizontal="center"/>
      <protection/>
    </xf>
    <xf numFmtId="0" fontId="1" fillId="2" borderId="8" xfId="0" applyFont="1" applyFill="1" applyBorder="1" applyAlignment="1" applyProtection="1">
      <alignment horizontal="center"/>
      <protection/>
    </xf>
    <xf numFmtId="0" fontId="1" fillId="2" borderId="2" xfId="0" applyFont="1" applyFill="1" applyBorder="1" applyAlignment="1" applyProtection="1">
      <alignment horizontal="center" vertical="center"/>
      <protection/>
    </xf>
    <xf numFmtId="0" fontId="7" fillId="0" borderId="1" xfId="0" applyFont="1" applyFill="1" applyBorder="1" applyAlignment="1" applyProtection="1">
      <alignment horizontal="center"/>
      <protection/>
    </xf>
    <xf numFmtId="0" fontId="7" fillId="0" borderId="1" xfId="0" applyFont="1" applyBorder="1" applyAlignment="1" applyProtection="1">
      <alignment horizontal="center"/>
      <protection/>
    </xf>
    <xf numFmtId="0" fontId="0" fillId="4" borderId="9" xfId="0" applyFill="1" applyBorder="1" applyAlignment="1" applyProtection="1">
      <alignment/>
      <protection/>
    </xf>
    <xf numFmtId="0" fontId="4" fillId="4" borderId="0" xfId="0" applyFont="1" applyFill="1" applyBorder="1" applyAlignment="1" applyProtection="1">
      <alignment horizontal="center"/>
      <protection/>
    </xf>
    <xf numFmtId="0" fontId="1" fillId="4" borderId="0" xfId="0" applyFont="1" applyFill="1" applyBorder="1" applyAlignment="1" applyProtection="1">
      <alignment horizontal="center"/>
      <protection/>
    </xf>
    <xf numFmtId="0" fontId="1" fillId="4" borderId="10" xfId="0" applyFont="1" applyFill="1" applyBorder="1" applyAlignment="1" applyProtection="1">
      <alignment horizontal="center"/>
      <protection/>
    </xf>
    <xf numFmtId="0" fontId="0" fillId="4" borderId="10" xfId="0" applyFont="1" applyFill="1" applyBorder="1" applyAlignment="1" applyProtection="1">
      <alignment horizontal="center"/>
      <protection/>
    </xf>
    <xf numFmtId="0" fontId="1" fillId="4" borderId="11" xfId="0" applyFont="1" applyFill="1" applyBorder="1" applyAlignment="1" applyProtection="1">
      <alignment horizontal="center"/>
      <protection/>
    </xf>
    <xf numFmtId="0" fontId="0" fillId="4" borderId="12" xfId="0" applyFill="1" applyBorder="1" applyAlignment="1" applyProtection="1">
      <alignment/>
      <protection/>
    </xf>
    <xf numFmtId="0" fontId="0" fillId="4" borderId="12" xfId="0" applyFill="1" applyBorder="1" applyAlignment="1" applyProtection="1">
      <alignment vertical="center" wrapText="1"/>
      <protection/>
    </xf>
    <xf numFmtId="0" fontId="0" fillId="4" borderId="11" xfId="0" applyFill="1" applyBorder="1" applyAlignment="1" applyProtection="1">
      <alignment/>
      <protection/>
    </xf>
    <xf numFmtId="0" fontId="0" fillId="4" borderId="9" xfId="0" applyFill="1" applyBorder="1" applyAlignment="1" applyProtection="1">
      <alignment vertical="center" wrapText="1"/>
      <protection/>
    </xf>
    <xf numFmtId="0" fontId="0" fillId="4" borderId="13" xfId="0" applyFill="1" applyBorder="1" applyAlignment="1" applyProtection="1">
      <alignment/>
      <protection/>
    </xf>
    <xf numFmtId="0" fontId="4" fillId="4" borderId="10" xfId="0" applyFont="1" applyFill="1" applyBorder="1" applyAlignment="1" applyProtection="1">
      <alignment horizontal="center"/>
      <protection/>
    </xf>
    <xf numFmtId="0" fontId="11" fillId="4" borderId="10" xfId="0" applyFont="1" applyFill="1" applyBorder="1" applyAlignment="1" applyProtection="1">
      <alignment horizontal="center"/>
      <protection/>
    </xf>
    <xf numFmtId="0" fontId="9" fillId="4" borderId="10" xfId="0" applyFont="1" applyFill="1" applyBorder="1" applyAlignment="1" applyProtection="1">
      <alignment horizontal="center"/>
      <protection/>
    </xf>
    <xf numFmtId="0" fontId="0" fillId="4" borderId="10" xfId="0" applyFill="1" applyBorder="1" applyAlignment="1" applyProtection="1">
      <alignment/>
      <protection/>
    </xf>
    <xf numFmtId="0" fontId="0" fillId="4" borderId="0" xfId="0" applyFill="1" applyBorder="1" applyAlignment="1" applyProtection="1">
      <alignment horizontal="right"/>
      <protection/>
    </xf>
    <xf numFmtId="0" fontId="0" fillId="4" borderId="0" xfId="0" applyFill="1" applyBorder="1" applyAlignment="1" applyProtection="1">
      <alignment horizontal="center"/>
      <protection/>
    </xf>
    <xf numFmtId="0" fontId="9" fillId="4" borderId="0" xfId="0" applyFont="1" applyFill="1" applyBorder="1" applyAlignment="1" applyProtection="1">
      <alignment horizontal="center"/>
      <protection/>
    </xf>
    <xf numFmtId="0" fontId="10" fillId="4" borderId="0" xfId="0" applyFont="1" applyFill="1" applyBorder="1" applyAlignment="1" applyProtection="1">
      <alignment horizontal="center"/>
      <protection/>
    </xf>
    <xf numFmtId="1" fontId="10" fillId="4" borderId="0" xfId="0" applyNumberFormat="1" applyFont="1" applyFill="1" applyBorder="1" applyAlignment="1" applyProtection="1">
      <alignment horizontal="center"/>
      <protection/>
    </xf>
    <xf numFmtId="0" fontId="1" fillId="4" borderId="9" xfId="0" applyFont="1" applyFill="1" applyBorder="1" applyAlignment="1" applyProtection="1">
      <alignment vertical="center"/>
      <protection/>
    </xf>
    <xf numFmtId="0" fontId="1" fillId="4" borderId="0" xfId="0" applyFont="1" applyFill="1" applyBorder="1" applyAlignment="1" applyProtection="1">
      <alignment vertical="center"/>
      <protection/>
    </xf>
    <xf numFmtId="0" fontId="1" fillId="4" borderId="0" xfId="0" applyFont="1" applyFill="1" applyBorder="1" applyAlignment="1" applyProtection="1">
      <alignment horizontal="right" vertical="center"/>
      <protection/>
    </xf>
    <xf numFmtId="1" fontId="0" fillId="4" borderId="0" xfId="0" applyNumberFormat="1" applyFill="1" applyBorder="1" applyAlignment="1" applyProtection="1">
      <alignment horizontal="center"/>
      <protection/>
    </xf>
    <xf numFmtId="0" fontId="1" fillId="4" borderId="10" xfId="0" applyFont="1" applyFill="1" applyBorder="1" applyAlignment="1" applyProtection="1">
      <alignment vertical="center"/>
      <protection/>
    </xf>
    <xf numFmtId="0" fontId="1" fillId="4" borderId="10" xfId="0" applyFont="1" applyFill="1" applyBorder="1" applyAlignment="1" applyProtection="1">
      <alignment horizontal="right" vertical="center"/>
      <protection/>
    </xf>
    <xf numFmtId="1" fontId="0" fillId="4" borderId="10" xfId="0" applyNumberFormat="1" applyFill="1" applyBorder="1" applyAlignment="1" applyProtection="1">
      <alignment horizontal="center"/>
      <protection/>
    </xf>
    <xf numFmtId="0" fontId="3" fillId="4" borderId="0" xfId="0" applyFont="1" applyFill="1" applyBorder="1" applyAlignment="1" applyProtection="1">
      <alignment horizontal="right"/>
      <protection/>
    </xf>
    <xf numFmtId="0" fontId="2" fillId="4" borderId="0" xfId="0" applyFont="1" applyFill="1" applyBorder="1" applyAlignment="1">
      <alignment/>
    </xf>
    <xf numFmtId="0" fontId="1" fillId="4" borderId="14" xfId="0" applyFont="1" applyFill="1" applyBorder="1" applyAlignment="1" applyProtection="1">
      <alignment vertical="center"/>
      <protection/>
    </xf>
    <xf numFmtId="0" fontId="1" fillId="4" borderId="14" xfId="0" applyFont="1" applyFill="1" applyBorder="1" applyAlignment="1" applyProtection="1">
      <alignment horizontal="right" vertical="center"/>
      <protection/>
    </xf>
    <xf numFmtId="1" fontId="1" fillId="4" borderId="14" xfId="0" applyNumberFormat="1" applyFont="1" applyFill="1" applyBorder="1" applyAlignment="1" applyProtection="1">
      <alignment horizontal="center"/>
      <protection/>
    </xf>
    <xf numFmtId="0" fontId="0" fillId="4" borderId="14" xfId="0" applyFill="1" applyBorder="1" applyAlignment="1" applyProtection="1">
      <alignment/>
      <protection/>
    </xf>
    <xf numFmtId="0" fontId="1" fillId="4" borderId="15" xfId="0" applyFont="1" applyFill="1" applyBorder="1" applyAlignment="1" applyProtection="1">
      <alignment vertical="center"/>
      <protection/>
    </xf>
    <xf numFmtId="0" fontId="1" fillId="4" borderId="4" xfId="0" applyFont="1" applyFill="1" applyBorder="1" applyAlignment="1" applyProtection="1">
      <alignment horizontal="right"/>
      <protection/>
    </xf>
    <xf numFmtId="0" fontId="1" fillId="4" borderId="4" xfId="0" applyFont="1" applyFill="1" applyBorder="1" applyAlignment="1">
      <alignment horizontal="right"/>
    </xf>
    <xf numFmtId="0" fontId="14" fillId="4" borderId="4" xfId="0" applyFont="1" applyFill="1" applyBorder="1" applyAlignment="1" applyProtection="1">
      <alignment horizontal="center" vertical="center"/>
      <protection/>
    </xf>
    <xf numFmtId="0" fontId="12" fillId="4" borderId="13" xfId="0" applyFont="1" applyFill="1" applyBorder="1" applyAlignment="1" applyProtection="1">
      <alignment horizontal="left" vertical="center"/>
      <protection/>
    </xf>
    <xf numFmtId="0" fontId="15" fillId="4" borderId="0" xfId="0" applyFont="1" applyFill="1" applyBorder="1" applyAlignment="1" applyProtection="1">
      <alignment horizontal="center" vertical="center"/>
      <protection/>
    </xf>
    <xf numFmtId="1" fontId="15" fillId="4" borderId="0" xfId="0" applyNumberFormat="1" applyFont="1" applyFill="1" applyBorder="1" applyAlignment="1" applyProtection="1">
      <alignment horizontal="center" vertical="center"/>
      <protection/>
    </xf>
    <xf numFmtId="1" fontId="1" fillId="4" borderId="0" xfId="0" applyNumberFormat="1" applyFont="1" applyFill="1" applyBorder="1" applyAlignment="1" applyProtection="1">
      <alignment horizontal="center" vertical="center" wrapText="1"/>
      <protection/>
    </xf>
    <xf numFmtId="0" fontId="1" fillId="4" borderId="10" xfId="0" applyFont="1" applyFill="1" applyBorder="1" applyAlignment="1" applyProtection="1">
      <alignment horizontal="center"/>
      <protection/>
    </xf>
    <xf numFmtId="0" fontId="1" fillId="4" borderId="10" xfId="0" applyFont="1" applyFill="1" applyBorder="1" applyAlignment="1" applyProtection="1">
      <alignment horizontal="right"/>
      <protection/>
    </xf>
    <xf numFmtId="0" fontId="12" fillId="4" borderId="0" xfId="0" applyFont="1" applyFill="1" applyBorder="1" applyAlignment="1" applyProtection="1">
      <alignment horizontal="right" vertical="center"/>
      <protection/>
    </xf>
    <xf numFmtId="0" fontId="12" fillId="4" borderId="0" xfId="0" applyFont="1" applyFill="1" applyBorder="1" applyAlignment="1" applyProtection="1">
      <alignment horizontal="center" vertical="center"/>
      <protection/>
    </xf>
    <xf numFmtId="0" fontId="0" fillId="4" borderId="0" xfId="0" applyFill="1" applyBorder="1" applyAlignment="1" applyProtection="1">
      <alignment/>
      <protection/>
    </xf>
    <xf numFmtId="0" fontId="0" fillId="4" borderId="0" xfId="0" applyFill="1" applyBorder="1" applyAlignment="1" applyProtection="1">
      <alignment vertical="center" wrapText="1"/>
      <protection/>
    </xf>
    <xf numFmtId="1" fontId="12" fillId="4" borderId="12" xfId="0" applyNumberFormat="1" applyFont="1" applyFill="1" applyBorder="1" applyAlignment="1" applyProtection="1">
      <alignment horizontal="left" vertical="center"/>
      <protection/>
    </xf>
    <xf numFmtId="0" fontId="0" fillId="4" borderId="15" xfId="0" applyFill="1" applyBorder="1" applyAlignment="1" applyProtection="1">
      <alignment/>
      <protection/>
    </xf>
    <xf numFmtId="0" fontId="11" fillId="4" borderId="0" xfId="0" applyFont="1" applyFill="1" applyBorder="1" applyAlignment="1" applyProtection="1">
      <alignment horizontal="center"/>
      <protection/>
    </xf>
    <xf numFmtId="0" fontId="12" fillId="4" borderId="0" xfId="0" applyFont="1" applyFill="1" applyBorder="1" applyAlignment="1" applyProtection="1">
      <alignment horizontal="center"/>
      <protection/>
    </xf>
    <xf numFmtId="0" fontId="0" fillId="0" borderId="16" xfId="0" applyBorder="1" applyAlignment="1">
      <alignment horizontal="left"/>
    </xf>
    <xf numFmtId="0" fontId="0" fillId="0" borderId="1" xfId="0" applyBorder="1" applyAlignment="1">
      <alignment horizontal="right"/>
    </xf>
    <xf numFmtId="0" fontId="0" fillId="0" borderId="17" xfId="0" applyBorder="1" applyAlignment="1">
      <alignment horizontal="right"/>
    </xf>
    <xf numFmtId="0" fontId="0" fillId="0" borderId="18" xfId="0"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8" xfId="0" applyFill="1" applyBorder="1" applyAlignment="1">
      <alignment/>
    </xf>
    <xf numFmtId="0" fontId="0" fillId="0" borderId="22" xfId="0" applyBorder="1" applyAlignment="1">
      <alignment/>
    </xf>
    <xf numFmtId="0" fontId="0" fillId="0" borderId="22" xfId="0" applyFill="1" applyBorder="1" applyAlignment="1">
      <alignment horizontal="center"/>
    </xf>
    <xf numFmtId="0" fontId="0" fillId="0" borderId="23" xfId="0" applyFill="1" applyBorder="1" applyAlignment="1">
      <alignment horizontal="center"/>
    </xf>
    <xf numFmtId="0" fontId="0" fillId="0" borderId="1" xfId="0" applyFill="1" applyBorder="1" applyAlignment="1">
      <alignment/>
    </xf>
    <xf numFmtId="0" fontId="0" fillId="0" borderId="1" xfId="0" applyBorder="1" applyAlignment="1">
      <alignment/>
    </xf>
    <xf numFmtId="0" fontId="0" fillId="0" borderId="16" xfId="0" applyFill="1" applyBorder="1" applyAlignment="1">
      <alignment horizontal="right"/>
    </xf>
    <xf numFmtId="0" fontId="0" fillId="0" borderId="24" xfId="0" applyFill="1" applyBorder="1" applyAlignment="1">
      <alignment horizontal="left"/>
    </xf>
    <xf numFmtId="0" fontId="0" fillId="0" borderId="16" xfId="0" applyBorder="1" applyAlignment="1">
      <alignment horizontal="right"/>
    </xf>
    <xf numFmtId="0" fontId="0" fillId="0" borderId="24" xfId="0" applyBorder="1" applyAlignment="1">
      <alignment horizontal="left"/>
    </xf>
    <xf numFmtId="0" fontId="0" fillId="0" borderId="23" xfId="0" applyBorder="1" applyAlignment="1">
      <alignment/>
    </xf>
    <xf numFmtId="0" fontId="0" fillId="0" borderId="25" xfId="0" applyBorder="1" applyAlignment="1">
      <alignment horizontal="center" wrapText="1"/>
    </xf>
    <xf numFmtId="0" fontId="0" fillId="0" borderId="25" xfId="0" applyBorder="1" applyAlignment="1">
      <alignment horizontal="center" vertical="top" wrapText="1"/>
    </xf>
    <xf numFmtId="0" fontId="0" fillId="0" borderId="26" xfId="0" applyBorder="1" applyAlignment="1">
      <alignment/>
    </xf>
    <xf numFmtId="0" fontId="0" fillId="0" borderId="27" xfId="0" applyBorder="1" applyAlignment="1">
      <alignment/>
    </xf>
    <xf numFmtId="0" fontId="0" fillId="0" borderId="1" xfId="0" applyBorder="1" applyAlignment="1" applyProtection="1">
      <alignment horizontal="center" vertical="top"/>
      <protection/>
    </xf>
    <xf numFmtId="1" fontId="1" fillId="4" borderId="0" xfId="0" applyNumberFormat="1" applyFont="1" applyFill="1" applyBorder="1" applyAlignment="1" applyProtection="1">
      <alignment horizontal="center"/>
      <protection/>
    </xf>
    <xf numFmtId="0" fontId="0" fillId="0" borderId="16" xfId="0" applyFill="1" applyBorder="1" applyAlignment="1">
      <alignment/>
    </xf>
    <xf numFmtId="0" fontId="0" fillId="0" borderId="28" xfId="0" applyFill="1" applyBorder="1" applyAlignment="1">
      <alignment/>
    </xf>
    <xf numFmtId="0" fontId="0" fillId="0" borderId="1" xfId="0" applyBorder="1" applyAlignment="1">
      <alignment horizontal="center" vertical="top" wrapText="1"/>
    </xf>
    <xf numFmtId="0" fontId="1" fillId="0" borderId="27" xfId="0" applyFont="1" applyBorder="1" applyAlignment="1">
      <alignment horizontal="left" wrapText="1"/>
    </xf>
    <xf numFmtId="0" fontId="21" fillId="2" borderId="4" xfId="0" applyFont="1" applyFill="1" applyBorder="1" applyAlignment="1" applyProtection="1">
      <alignment horizontal="left" vertical="center"/>
      <protection/>
    </xf>
    <xf numFmtId="0" fontId="21" fillId="2" borderId="5" xfId="0" applyFont="1" applyFill="1" applyBorder="1" applyAlignment="1" applyProtection="1">
      <alignment horizontal="right" vertical="center"/>
      <protection/>
    </xf>
    <xf numFmtId="0" fontId="0" fillId="3" borderId="1" xfId="0" applyFill="1" applyBorder="1" applyAlignment="1">
      <alignment horizontal="center"/>
    </xf>
    <xf numFmtId="0" fontId="12" fillId="4" borderId="0" xfId="0" applyFont="1" applyFill="1" applyBorder="1" applyAlignment="1" applyProtection="1">
      <alignment horizontal="left" vertical="center"/>
      <protection/>
    </xf>
    <xf numFmtId="0" fontId="1" fillId="0" borderId="17" xfId="0" applyFont="1" applyBorder="1" applyAlignment="1">
      <alignment horizontal="center" wrapText="1"/>
    </xf>
    <xf numFmtId="0" fontId="0" fillId="0" borderId="17" xfId="0" applyBorder="1" applyAlignment="1">
      <alignment horizontal="center" vertical="top" wrapText="1"/>
    </xf>
    <xf numFmtId="0" fontId="0" fillId="0" borderId="17" xfId="0" applyBorder="1" applyAlignment="1">
      <alignment horizontal="center" wrapText="1"/>
    </xf>
    <xf numFmtId="0" fontId="0" fillId="0" borderId="27"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1" fillId="0" borderId="27" xfId="0" applyFont="1" applyBorder="1" applyAlignment="1">
      <alignment/>
    </xf>
    <xf numFmtId="0" fontId="1" fillId="0" borderId="1" xfId="0" applyFont="1" applyBorder="1" applyAlignment="1">
      <alignment horizontal="center"/>
    </xf>
    <xf numFmtId="0" fontId="0" fillId="0" borderId="26" xfId="0" applyBorder="1" applyAlignment="1">
      <alignment horizontal="center"/>
    </xf>
    <xf numFmtId="0" fontId="0" fillId="5" borderId="0" xfId="0" applyFill="1" applyAlignment="1">
      <alignment/>
    </xf>
    <xf numFmtId="49" fontId="1" fillId="5" borderId="0" xfId="0" applyNumberFormat="1" applyFont="1" applyFill="1" applyAlignment="1">
      <alignment horizontal="right" vertical="top"/>
    </xf>
    <xf numFmtId="0" fontId="23" fillId="3" borderId="29" xfId="0" applyFont="1" applyFill="1" applyBorder="1" applyAlignment="1" applyProtection="1">
      <alignment horizontal="center"/>
      <protection/>
    </xf>
    <xf numFmtId="0" fontId="23" fillId="3" borderId="30" xfId="0" applyFont="1" applyFill="1" applyBorder="1" applyAlignment="1" applyProtection="1">
      <alignment horizontal="center"/>
      <protection/>
    </xf>
    <xf numFmtId="0" fontId="23" fillId="3" borderId="7" xfId="0" applyFont="1" applyFill="1" applyBorder="1" applyAlignment="1" applyProtection="1">
      <alignment horizontal="center"/>
      <protection/>
    </xf>
    <xf numFmtId="0" fontId="1" fillId="2" borderId="2" xfId="0" applyFont="1" applyFill="1" applyBorder="1" applyAlignment="1" applyProtection="1">
      <alignment horizontal="right"/>
      <protection locked="0"/>
    </xf>
    <xf numFmtId="0" fontId="22" fillId="5" borderId="0" xfId="0" applyFont="1" applyFill="1" applyAlignment="1">
      <alignment horizontal="left" vertical="top"/>
    </xf>
    <xf numFmtId="0" fontId="24" fillId="5" borderId="0" xfId="0" applyFont="1" applyFill="1" applyAlignment="1">
      <alignment horizontal="left"/>
    </xf>
    <xf numFmtId="0" fontId="25" fillId="5" borderId="0" xfId="0" applyFont="1" applyFill="1" applyAlignment="1">
      <alignment horizontal="left"/>
    </xf>
    <xf numFmtId="0" fontId="25" fillId="5" borderId="0" xfId="0" applyFont="1" applyFill="1" applyAlignment="1">
      <alignment horizontal="left" vertical="top"/>
    </xf>
    <xf numFmtId="0" fontId="25" fillId="5" borderId="0" xfId="0" applyFont="1" applyFill="1" applyAlignment="1">
      <alignment horizontal="left" vertical="top" wrapText="1"/>
    </xf>
    <xf numFmtId="0" fontId="0" fillId="4" borderId="0" xfId="0" applyFill="1" applyBorder="1" applyAlignment="1">
      <alignment vertical="center"/>
    </xf>
    <xf numFmtId="0" fontId="0" fillId="4" borderId="6" xfId="0" applyFill="1" applyBorder="1" applyAlignment="1" applyProtection="1">
      <alignment/>
      <protection/>
    </xf>
    <xf numFmtId="0" fontId="0" fillId="4" borderId="14" xfId="0" applyFill="1" applyBorder="1" applyAlignment="1">
      <alignment vertical="center"/>
    </xf>
    <xf numFmtId="0" fontId="0" fillId="4" borderId="9" xfId="0" applyFill="1" applyBorder="1" applyAlignment="1">
      <alignment vertical="center"/>
    </xf>
    <xf numFmtId="0" fontId="0" fillId="2" borderId="0" xfId="0" applyFill="1" applyBorder="1" applyAlignment="1" applyProtection="1">
      <alignment/>
      <protection/>
    </xf>
    <xf numFmtId="0" fontId="24" fillId="4" borderId="0" xfId="0" applyFont="1" applyFill="1" applyBorder="1" applyAlignment="1" applyProtection="1">
      <alignment vertical="center"/>
      <protection/>
    </xf>
    <xf numFmtId="49" fontId="13" fillId="5" borderId="0" xfId="0" applyNumberFormat="1" applyFont="1" applyFill="1" applyAlignment="1">
      <alignment horizontal="right" vertical="top"/>
    </xf>
    <xf numFmtId="0" fontId="26" fillId="5" borderId="0" xfId="0" applyFont="1" applyFill="1" applyAlignment="1">
      <alignment horizontal="left"/>
    </xf>
    <xf numFmtId="0" fontId="16" fillId="2" borderId="5" xfId="0" applyFont="1" applyFill="1" applyBorder="1" applyAlignment="1" applyProtection="1" quotePrefix="1">
      <alignment horizontal="right" vertical="center"/>
      <protection hidden="1"/>
    </xf>
    <xf numFmtId="0" fontId="12" fillId="4" borderId="0" xfId="0" applyFont="1" applyFill="1" applyBorder="1" applyAlignment="1" applyProtection="1">
      <alignment vertical="center"/>
      <protection/>
    </xf>
    <xf numFmtId="0" fontId="1" fillId="2" borderId="3" xfId="0" applyFont="1" applyFill="1" applyBorder="1" applyAlignment="1" applyProtection="1">
      <alignment horizontal="center"/>
      <protection/>
    </xf>
    <xf numFmtId="1" fontId="10" fillId="2" borderId="5" xfId="0" applyNumberFormat="1" applyFont="1" applyFill="1" applyBorder="1" applyAlignment="1" applyProtection="1">
      <alignment horizontal="center"/>
      <protection/>
    </xf>
    <xf numFmtId="0" fontId="1" fillId="2" borderId="5" xfId="0" applyFont="1" applyFill="1" applyBorder="1" applyAlignment="1" applyProtection="1">
      <alignment horizontal="right"/>
      <protection/>
    </xf>
    <xf numFmtId="0" fontId="0" fillId="2" borderId="5" xfId="0" applyFill="1" applyBorder="1" applyAlignment="1" applyProtection="1">
      <alignment/>
      <protection/>
    </xf>
    <xf numFmtId="0" fontId="0" fillId="2" borderId="5" xfId="0" applyFill="1" applyBorder="1" applyAlignment="1" applyProtection="1">
      <alignment horizontal="right"/>
      <protection locked="0"/>
    </xf>
    <xf numFmtId="0" fontId="12" fillId="2" borderId="3" xfId="0" applyFont="1" applyFill="1" applyBorder="1" applyAlignment="1" applyProtection="1">
      <alignment/>
      <protection/>
    </xf>
    <xf numFmtId="0" fontId="12" fillId="2" borderId="3" xfId="0" applyFont="1" applyFill="1" applyBorder="1" applyAlignment="1" applyProtection="1">
      <alignment/>
      <protection/>
    </xf>
    <xf numFmtId="0" fontId="12" fillId="2" borderId="3" xfId="0" applyFont="1" applyFill="1" applyBorder="1" applyAlignment="1" applyProtection="1">
      <alignment horizontal="left"/>
      <protection/>
    </xf>
    <xf numFmtId="0" fontId="0" fillId="2" borderId="4" xfId="0" applyFill="1" applyBorder="1" applyAlignment="1" applyProtection="1">
      <alignment/>
      <protection/>
    </xf>
    <xf numFmtId="0" fontId="12" fillId="2" borderId="4" xfId="0" applyFont="1" applyFill="1" applyBorder="1" applyAlignment="1">
      <alignment/>
    </xf>
    <xf numFmtId="0" fontId="12" fillId="2" borderId="4" xfId="0" applyFont="1" applyFill="1" applyBorder="1" applyAlignment="1" applyProtection="1">
      <alignment horizontal="center"/>
      <protection/>
    </xf>
    <xf numFmtId="0" fontId="10" fillId="2" borderId="4" xfId="0" applyFont="1" applyFill="1" applyBorder="1" applyAlignment="1" applyProtection="1">
      <alignment horizontal="center"/>
      <protection/>
    </xf>
    <xf numFmtId="0" fontId="1" fillId="2" borderId="4" xfId="0" applyFont="1" applyFill="1" applyBorder="1" applyAlignment="1">
      <alignment/>
    </xf>
    <xf numFmtId="0" fontId="1" fillId="2" borderId="4" xfId="0" applyFont="1" applyFill="1" applyBorder="1" applyAlignment="1" applyProtection="1">
      <alignment horizontal="center"/>
      <protection/>
    </xf>
    <xf numFmtId="0" fontId="1" fillId="2" borderId="5" xfId="0" applyFont="1" applyFill="1" applyBorder="1" applyAlignment="1" applyProtection="1">
      <alignment horizontal="center"/>
      <protection/>
    </xf>
    <xf numFmtId="0" fontId="12" fillId="4" borderId="0" xfId="0" applyFont="1" applyFill="1" applyBorder="1" applyAlignment="1" applyProtection="1">
      <alignment horizontal="left"/>
      <protection/>
    </xf>
    <xf numFmtId="0" fontId="0" fillId="0" borderId="31" xfId="0" applyBorder="1" applyAlignment="1">
      <alignment/>
    </xf>
    <xf numFmtId="0" fontId="7" fillId="2" borderId="2" xfId="0" applyFont="1" applyFill="1" applyBorder="1" applyAlignment="1" applyProtection="1">
      <alignment horizontal="center" vertical="center"/>
      <protection/>
    </xf>
    <xf numFmtId="1" fontId="7" fillId="2" borderId="2" xfId="0" applyNumberFormat="1" applyFont="1" applyFill="1" applyBorder="1" applyAlignment="1" applyProtection="1">
      <alignment horizontal="center" vertical="center"/>
      <protection/>
    </xf>
    <xf numFmtId="0" fontId="27" fillId="0" borderId="0" xfId="20" applyFont="1" applyFill="1" applyAlignment="1">
      <alignment horizontal="left" vertical="top" wrapText="1"/>
    </xf>
    <xf numFmtId="0" fontId="0" fillId="2" borderId="4" xfId="0" applyFill="1" applyBorder="1" applyAlignment="1">
      <alignment horizontal="center" vertical="center"/>
    </xf>
    <xf numFmtId="0" fontId="0" fillId="2" borderId="3" xfId="0" applyFont="1" applyFill="1" applyBorder="1" applyAlignment="1" applyProtection="1">
      <alignment horizontal="center" vertical="center"/>
      <protection/>
    </xf>
    <xf numFmtId="0" fontId="7" fillId="2" borderId="4" xfId="0" applyFont="1" applyFill="1" applyBorder="1" applyAlignment="1">
      <alignment horizontal="center" vertical="center"/>
    </xf>
    <xf numFmtId="0" fontId="25" fillId="0" borderId="0" xfId="0" applyFont="1" applyFill="1" applyAlignment="1">
      <alignment horizontal="left" vertical="top" wrapText="1"/>
    </xf>
    <xf numFmtId="49" fontId="13" fillId="0" borderId="0" xfId="0" applyNumberFormat="1" applyFont="1" applyFill="1" applyAlignment="1">
      <alignment horizontal="right" vertical="top"/>
    </xf>
    <xf numFmtId="0" fontId="25" fillId="0" borderId="0" xfId="0" applyFont="1" applyFill="1" applyAlignment="1">
      <alignment horizontal="left" vertical="top" wrapText="1"/>
    </xf>
    <xf numFmtId="0" fontId="0" fillId="0" borderId="0" xfId="0" applyFill="1" applyAlignment="1">
      <alignment/>
    </xf>
    <xf numFmtId="1" fontId="10" fillId="2" borderId="3" xfId="0" applyNumberFormat="1" applyFont="1" applyFill="1" applyBorder="1" applyAlignment="1" applyProtection="1">
      <alignment horizontal="center"/>
      <protection/>
    </xf>
    <xf numFmtId="1" fontId="10" fillId="2" borderId="5" xfId="0" applyNumberFormat="1" applyFont="1" applyFill="1" applyBorder="1" applyAlignment="1" applyProtection="1">
      <alignment horizontal="center"/>
      <protection/>
    </xf>
    <xf numFmtId="0" fontId="1" fillId="2" borderId="3" xfId="0" applyFont="1" applyFill="1" applyBorder="1" applyAlignment="1" applyProtection="1">
      <alignment horizontal="center"/>
      <protection/>
    </xf>
    <xf numFmtId="0" fontId="0" fillId="2" borderId="5" xfId="0" applyFont="1" applyFill="1" applyBorder="1" applyAlignment="1">
      <alignment horizontal="center"/>
    </xf>
    <xf numFmtId="0" fontId="1" fillId="2" borderId="3" xfId="0" applyFont="1" applyFill="1" applyBorder="1" applyAlignment="1" applyProtection="1">
      <alignment horizontal="right"/>
      <protection/>
    </xf>
    <xf numFmtId="0" fontId="0" fillId="2" borderId="5" xfId="0" applyFill="1" applyBorder="1" applyAlignment="1">
      <alignment/>
    </xf>
    <xf numFmtId="0" fontId="7" fillId="2" borderId="3" xfId="0" applyFont="1" applyFill="1" applyBorder="1" applyAlignment="1" applyProtection="1">
      <alignment horizontal="center" vertical="center" wrapText="1"/>
      <protection/>
    </xf>
    <xf numFmtId="0" fontId="0" fillId="2" borderId="5" xfId="0" applyFill="1" applyBorder="1" applyAlignment="1">
      <alignment horizontal="center" vertical="center" wrapText="1"/>
    </xf>
    <xf numFmtId="0" fontId="1" fillId="2" borderId="3" xfId="0" applyFont="1" applyFill="1" applyBorder="1" applyAlignment="1">
      <alignment horizontal="right"/>
    </xf>
    <xf numFmtId="0" fontId="1" fillId="2" borderId="5" xfId="0" applyFont="1" applyFill="1" applyBorder="1" applyAlignment="1">
      <alignment horizontal="right"/>
    </xf>
    <xf numFmtId="0" fontId="12" fillId="4" borderId="9" xfId="0" applyFont="1" applyFill="1" applyBorder="1" applyAlignment="1" applyProtection="1">
      <alignment horizontal="left" vertical="center"/>
      <protection/>
    </xf>
    <xf numFmtId="0" fontId="12" fillId="4" borderId="0" xfId="0" applyFont="1" applyFill="1" applyBorder="1" applyAlignment="1" applyProtection="1">
      <alignment horizontal="left" vertical="center"/>
      <protection/>
    </xf>
    <xf numFmtId="0" fontId="0" fillId="0" borderId="1" xfId="0" applyBorder="1" applyAlignment="1" applyProtection="1">
      <alignment horizontal="center" vertical="center"/>
      <protection/>
    </xf>
    <xf numFmtId="0" fontId="1" fillId="2" borderId="3" xfId="0" applyFont="1" applyFill="1" applyBorder="1" applyAlignment="1" applyProtection="1">
      <alignment horizontal="right" vertical="center"/>
      <protection/>
    </xf>
    <xf numFmtId="1" fontId="7" fillId="2" borderId="2" xfId="0" applyNumberFormat="1" applyFont="1" applyFill="1" applyBorder="1" applyAlignment="1" applyProtection="1">
      <alignment horizontal="center" vertical="center"/>
      <protection/>
    </xf>
    <xf numFmtId="0" fontId="0" fillId="2" borderId="2" xfId="0" applyFont="1" applyFill="1" applyBorder="1" applyAlignment="1">
      <alignment horizontal="center" vertical="center"/>
    </xf>
    <xf numFmtId="1" fontId="7" fillId="2" borderId="3" xfId="0" applyNumberFormat="1" applyFont="1" applyFill="1" applyBorder="1" applyAlignment="1" applyProtection="1">
      <alignment horizontal="center" vertical="center"/>
      <protection/>
    </xf>
    <xf numFmtId="1" fontId="7" fillId="2" borderId="5" xfId="0" applyNumberFormat="1" applyFont="1" applyFill="1" applyBorder="1" applyAlignment="1" applyProtection="1">
      <alignment horizontal="center" vertical="center"/>
      <protection/>
    </xf>
    <xf numFmtId="0" fontId="25" fillId="5" borderId="0" xfId="0" applyFont="1" applyFill="1" applyAlignment="1">
      <alignment horizontal="left" vertical="top" wrapText="1"/>
    </xf>
    <xf numFmtId="0" fontId="7" fillId="2" borderId="3" xfId="0" applyFont="1" applyFill="1" applyBorder="1" applyAlignment="1" applyProtection="1">
      <alignment horizontal="center" vertical="center"/>
      <protection/>
    </xf>
    <xf numFmtId="0" fontId="25" fillId="0" borderId="0" xfId="0" applyFont="1" applyFill="1" applyAlignment="1">
      <alignment horizontal="left" vertical="top" wrapText="1"/>
    </xf>
    <xf numFmtId="0" fontId="25" fillId="5" borderId="0" xfId="0" applyFont="1" applyFill="1" applyAlignment="1">
      <alignment horizontal="left" wrapText="1"/>
    </xf>
    <xf numFmtId="0" fontId="23" fillId="5" borderId="0" xfId="0" applyFont="1" applyFill="1" applyAlignment="1">
      <alignment horizontal="left" vertical="top" wrapText="1"/>
    </xf>
    <xf numFmtId="0" fontId="0" fillId="2" borderId="1" xfId="0" applyFill="1" applyBorder="1" applyAlignment="1">
      <alignment horizontal="center"/>
    </xf>
    <xf numFmtId="0" fontId="1" fillId="0" borderId="1" xfId="0" applyFont="1" applyBorder="1" applyAlignment="1">
      <alignment horizontal="center" wrapText="1"/>
    </xf>
    <xf numFmtId="0" fontId="0" fillId="6" borderId="1" xfId="0" applyFont="1" applyFill="1" applyBorder="1" applyAlignment="1">
      <alignment horizontal="center"/>
    </xf>
    <xf numFmtId="0" fontId="0" fillId="6" borderId="1" xfId="0" applyFont="1" applyFill="1" applyBorder="1" applyAlignment="1">
      <alignment/>
    </xf>
    <xf numFmtId="0" fontId="0" fillId="0" borderId="16" xfId="0" applyBorder="1" applyAlignment="1">
      <alignment horizontal="center"/>
    </xf>
    <xf numFmtId="0" fontId="0" fillId="0" borderId="24" xfId="0" applyBorder="1" applyAlignment="1">
      <alignment horizontal="center"/>
    </xf>
    <xf numFmtId="0" fontId="0" fillId="3" borderId="1" xfId="0" applyFill="1" applyBorder="1" applyAlignment="1">
      <alignment horizontal="center"/>
    </xf>
    <xf numFmtId="0" fontId="0" fillId="3" borderId="20" xfId="0" applyFill="1" applyBorder="1" applyAlignment="1">
      <alignment horizontal="center"/>
    </xf>
    <xf numFmtId="0" fontId="0" fillId="3" borderId="18" xfId="0" applyFill="1" applyBorder="1" applyAlignment="1">
      <alignment horizontal="center"/>
    </xf>
    <xf numFmtId="0" fontId="0" fillId="0" borderId="16" xfId="0" applyBorder="1" applyAlignment="1" applyProtection="1">
      <alignment horizontal="center"/>
      <protection/>
    </xf>
    <xf numFmtId="0" fontId="0" fillId="0" borderId="24" xfId="0" applyBorder="1" applyAlignment="1" applyProtection="1">
      <alignment horizontal="center"/>
      <protection/>
    </xf>
    <xf numFmtId="0" fontId="13" fillId="2" borderId="1" xfId="0" applyFont="1" applyFill="1" applyBorder="1" applyAlignment="1">
      <alignment horizontal="center"/>
    </xf>
    <xf numFmtId="0" fontId="0" fillId="7" borderId="16" xfId="0" applyFill="1" applyBorder="1" applyAlignment="1">
      <alignment horizontal="center"/>
    </xf>
    <xf numFmtId="0" fontId="0" fillId="7" borderId="32" xfId="0" applyFill="1" applyBorder="1" applyAlignment="1">
      <alignment horizontal="center"/>
    </xf>
    <xf numFmtId="0" fontId="0" fillId="7" borderId="24" xfId="0" applyFill="1" applyBorder="1" applyAlignment="1">
      <alignment horizontal="center"/>
    </xf>
    <xf numFmtId="0" fontId="0" fillId="3" borderId="32" xfId="0" applyFill="1" applyBorder="1" applyAlignment="1">
      <alignment horizontal="center"/>
    </xf>
    <xf numFmtId="0" fontId="0" fillId="3" borderId="24" xfId="0" applyFill="1" applyBorder="1" applyAlignment="1">
      <alignment horizontal="center"/>
    </xf>
    <xf numFmtId="0" fontId="0" fillId="8" borderId="16" xfId="0" applyFill="1" applyBorder="1" applyAlignment="1">
      <alignment horizontal="center"/>
    </xf>
    <xf numFmtId="0" fontId="0" fillId="8" borderId="32" xfId="0" applyFill="1" applyBorder="1" applyAlignment="1">
      <alignment horizontal="center"/>
    </xf>
    <xf numFmtId="0" fontId="0" fillId="8" borderId="24" xfId="0" applyFill="1" applyBorder="1" applyAlignment="1">
      <alignment horizontal="center"/>
    </xf>
    <xf numFmtId="0" fontId="0" fillId="9" borderId="16" xfId="0" applyFill="1" applyBorder="1" applyAlignment="1">
      <alignment horizontal="center"/>
    </xf>
    <xf numFmtId="0" fontId="0" fillId="9" borderId="24" xfId="0" applyFill="1" applyBorder="1" applyAlignment="1">
      <alignment horizontal="center"/>
    </xf>
    <xf numFmtId="0" fontId="0" fillId="0" borderId="16" xfId="0" applyFill="1" applyBorder="1" applyAlignment="1">
      <alignment horizontal="center"/>
    </xf>
    <xf numFmtId="0" fontId="0" fillId="0" borderId="32" xfId="0" applyFill="1" applyBorder="1" applyAlignment="1">
      <alignment horizontal="center"/>
    </xf>
    <xf numFmtId="0" fontId="0" fillId="0" borderId="24" xfId="0" applyFill="1" applyBorder="1" applyAlignment="1">
      <alignment horizontal="center"/>
    </xf>
    <xf numFmtId="0" fontId="0" fillId="3" borderId="16" xfId="0" applyFill="1" applyBorder="1" applyAlignment="1">
      <alignment horizontal="center"/>
    </xf>
    <xf numFmtId="0" fontId="1" fillId="0" borderId="27"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ere.com/servlet/com.deere.u90785.productcatalog.view.servlets.PublicationsSearchServlet?tM=FR"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BU581"/>
  <sheetViews>
    <sheetView showGridLines="0" tabSelected="1" zoomScale="85" zoomScaleNormal="85" workbookViewId="0" topLeftCell="A1">
      <selection activeCell="O41" sqref="O41"/>
    </sheetView>
  </sheetViews>
  <sheetFormatPr defaultColWidth="9.140625" defaultRowHeight="12.75"/>
  <cols>
    <col min="1" max="1" width="5.00390625" style="2" customWidth="1"/>
    <col min="2" max="2" width="19.421875" style="2" customWidth="1"/>
    <col min="3" max="3" width="15.140625" style="2" customWidth="1"/>
    <col min="4" max="4" width="23.140625" style="2" customWidth="1"/>
    <col min="5" max="5" width="8.421875" style="2" customWidth="1"/>
    <col min="6" max="6" width="6.57421875" style="2" customWidth="1"/>
    <col min="7" max="7" width="12.00390625" style="2" customWidth="1"/>
    <col min="8" max="8" width="13.8515625" style="2" customWidth="1"/>
    <col min="9" max="9" width="13.421875" style="2" customWidth="1"/>
    <col min="10" max="10" width="10.00390625" style="2" bestFit="1" customWidth="1"/>
    <col min="11" max="11" width="9.28125" style="2" bestFit="1" customWidth="1"/>
    <col min="12" max="12" width="21.140625" style="2" customWidth="1"/>
    <col min="13" max="14" width="6.28125" style="2" customWidth="1"/>
    <col min="15" max="15" width="12.57421875" style="2" customWidth="1"/>
    <col min="16" max="16" width="24.421875" style="2" bestFit="1" customWidth="1"/>
    <col min="17" max="17" width="2.140625" style="2" customWidth="1"/>
    <col min="18" max="18" width="9.57421875" style="2" bestFit="1" customWidth="1"/>
    <col min="19" max="20" width="9.140625" style="2" customWidth="1"/>
    <col min="21" max="22" width="7.140625" style="2" customWidth="1"/>
    <col min="23" max="24" width="6.421875" style="2" customWidth="1"/>
    <col min="25" max="25" width="4.7109375" style="2" customWidth="1"/>
    <col min="26" max="26" width="9.140625" style="2" customWidth="1"/>
    <col min="27" max="27" width="11.421875" style="2" customWidth="1"/>
    <col min="28" max="28" width="7.7109375" style="3" customWidth="1"/>
    <col min="29" max="32" width="7.140625" style="3" customWidth="1"/>
    <col min="33" max="34" width="9.140625" style="3" customWidth="1"/>
    <col min="35" max="35" width="12.140625" style="2" customWidth="1"/>
    <col min="36" max="36" width="9.140625" style="2" customWidth="1"/>
    <col min="37" max="38" width="7.140625" style="2" customWidth="1"/>
    <col min="39" max="39" width="7.140625" style="19" customWidth="1"/>
    <col min="40" max="53" width="9.140625" style="2" customWidth="1"/>
    <col min="54" max="54" width="7.00390625" style="3" customWidth="1"/>
    <col min="55" max="16384" width="9.140625" style="2" customWidth="1"/>
  </cols>
  <sheetData>
    <row r="2" s="183" customFormat="1" ht="26.25">
      <c r="D2" s="190" t="s">
        <v>159</v>
      </c>
    </row>
    <row r="3" s="183" customFormat="1" ht="12.75"/>
    <row r="4" spans="2:11" s="183" customFormat="1" ht="60" customHeight="1">
      <c r="B4" s="252" t="s">
        <v>156</v>
      </c>
      <c r="C4" s="252"/>
      <c r="D4" s="252"/>
      <c r="E4" s="252"/>
      <c r="F4" s="252"/>
      <c r="G4" s="252"/>
      <c r="H4" s="252"/>
      <c r="I4" s="252"/>
      <c r="J4" s="252"/>
      <c r="K4" s="252"/>
    </row>
    <row r="5" spans="2:11" s="183" customFormat="1" ht="14.25">
      <c r="B5" s="191"/>
      <c r="C5" s="191"/>
      <c r="D5" s="191"/>
      <c r="E5" s="191"/>
      <c r="F5" s="191"/>
      <c r="G5" s="191"/>
      <c r="H5" s="191"/>
      <c r="I5" s="191"/>
      <c r="J5" s="191"/>
      <c r="K5" s="191"/>
    </row>
    <row r="6" spans="2:11" s="183" customFormat="1" ht="23.25" customHeight="1">
      <c r="B6" s="189" t="s">
        <v>143</v>
      </c>
      <c r="C6" s="191"/>
      <c r="D6" s="191"/>
      <c r="E6" s="191"/>
      <c r="F6" s="191"/>
      <c r="G6" s="191"/>
      <c r="H6" s="191"/>
      <c r="I6" s="191"/>
      <c r="J6" s="191"/>
      <c r="K6" s="191"/>
    </row>
    <row r="7" spans="1:11" s="183" customFormat="1" ht="15.75">
      <c r="A7" s="200" t="s">
        <v>148</v>
      </c>
      <c r="B7" s="249" t="s">
        <v>154</v>
      </c>
      <c r="C7" s="249"/>
      <c r="D7" s="249"/>
      <c r="E7" s="249"/>
      <c r="F7" s="249"/>
      <c r="G7" s="249"/>
      <c r="H7" s="249"/>
      <c r="I7" s="249"/>
      <c r="J7" s="249"/>
      <c r="K7" s="249"/>
    </row>
    <row r="8" spans="1:11" s="183" customFormat="1" ht="21.75" customHeight="1">
      <c r="A8" s="200"/>
      <c r="B8" s="249" t="s">
        <v>162</v>
      </c>
      <c r="C8" s="249"/>
      <c r="D8" s="249"/>
      <c r="E8" s="249"/>
      <c r="F8" s="249"/>
      <c r="G8" s="249"/>
      <c r="H8" s="249"/>
      <c r="I8" s="249"/>
      <c r="J8" s="249"/>
      <c r="K8" s="249"/>
    </row>
    <row r="9" spans="1:11" s="183" customFormat="1" ht="15.75">
      <c r="A9" s="200" t="s">
        <v>149</v>
      </c>
      <c r="B9" s="249" t="s">
        <v>155</v>
      </c>
      <c r="C9" s="249"/>
      <c r="D9" s="249"/>
      <c r="E9" s="249"/>
      <c r="F9" s="249"/>
      <c r="G9" s="249"/>
      <c r="H9" s="249"/>
      <c r="I9" s="249"/>
      <c r="J9" s="249"/>
      <c r="K9" s="249"/>
    </row>
    <row r="10" spans="1:11" s="183" customFormat="1" ht="15.75">
      <c r="A10" s="200"/>
      <c r="B10" s="249" t="s">
        <v>147</v>
      </c>
      <c r="C10" s="249"/>
      <c r="D10" s="249"/>
      <c r="E10" s="249"/>
      <c r="F10" s="249"/>
      <c r="G10" s="249"/>
      <c r="H10" s="249"/>
      <c r="I10" s="249"/>
      <c r="J10" s="249"/>
      <c r="K10" s="249"/>
    </row>
    <row r="11" spans="1:11" s="183" customFormat="1" ht="33" customHeight="1">
      <c r="A11" s="200"/>
      <c r="B11" s="249" t="s">
        <v>168</v>
      </c>
      <c r="C11" s="249"/>
      <c r="D11" s="249"/>
      <c r="E11" s="249"/>
      <c r="F11" s="249"/>
      <c r="G11" s="249"/>
      <c r="H11" s="249"/>
      <c r="I11" s="249"/>
      <c r="J11" s="249"/>
      <c r="K11" s="249"/>
    </row>
    <row r="12" spans="1:11" s="183" customFormat="1" ht="17.25" customHeight="1">
      <c r="A12" s="200"/>
      <c r="B12" s="249" t="s">
        <v>146</v>
      </c>
      <c r="C12" s="249"/>
      <c r="D12" s="249"/>
      <c r="E12" s="249"/>
      <c r="F12" s="249"/>
      <c r="G12" s="249"/>
      <c r="H12" s="249"/>
      <c r="I12" s="249"/>
      <c r="J12" s="249"/>
      <c r="K12" s="191"/>
    </row>
    <row r="13" spans="1:11" s="230" customFormat="1" ht="15.75">
      <c r="A13" s="228"/>
      <c r="B13" s="227" t="s">
        <v>169</v>
      </c>
      <c r="C13" s="227"/>
      <c r="D13" s="227"/>
      <c r="E13" s="227"/>
      <c r="F13" s="227"/>
      <c r="G13" s="227"/>
      <c r="H13" s="227"/>
      <c r="I13" s="227"/>
      <c r="J13" s="229"/>
      <c r="K13" s="229"/>
    </row>
    <row r="14" spans="1:11" s="230" customFormat="1" ht="24.75" customHeight="1">
      <c r="A14" s="228"/>
      <c r="B14" s="223" t="s">
        <v>170</v>
      </c>
      <c r="C14" s="251"/>
      <c r="D14" s="251"/>
      <c r="E14" s="251"/>
      <c r="F14" s="251"/>
      <c r="G14" s="251"/>
      <c r="H14" s="251"/>
      <c r="I14" s="251"/>
      <c r="J14" s="229"/>
      <c r="K14" s="229"/>
    </row>
    <row r="15" spans="1:11" s="183" customFormat="1" ht="38.25" customHeight="1">
      <c r="A15" s="200" t="s">
        <v>150</v>
      </c>
      <c r="B15" s="249" t="s">
        <v>165</v>
      </c>
      <c r="C15" s="249"/>
      <c r="D15" s="249"/>
      <c r="E15" s="249"/>
      <c r="F15" s="249"/>
      <c r="G15" s="249"/>
      <c r="H15" s="249"/>
      <c r="I15" s="249"/>
      <c r="J15" s="249"/>
      <c r="K15" s="249"/>
    </row>
    <row r="16" spans="1:11" s="183" customFormat="1" ht="37.5" customHeight="1">
      <c r="A16" s="200" t="s">
        <v>151</v>
      </c>
      <c r="B16" s="249" t="s">
        <v>163</v>
      </c>
      <c r="C16" s="249"/>
      <c r="D16" s="249"/>
      <c r="E16" s="249"/>
      <c r="F16" s="249"/>
      <c r="G16" s="249"/>
      <c r="H16" s="249"/>
      <c r="I16" s="249"/>
      <c r="J16" s="249"/>
      <c r="K16" s="249"/>
    </row>
    <row r="17" spans="1:11" s="183" customFormat="1" ht="15.75">
      <c r="A17" s="200" t="s">
        <v>152</v>
      </c>
      <c r="B17" s="253" t="s">
        <v>164</v>
      </c>
      <c r="C17" s="249"/>
      <c r="D17" s="249"/>
      <c r="E17" s="249"/>
      <c r="F17" s="249"/>
      <c r="G17" s="249"/>
      <c r="H17" s="249"/>
      <c r="I17" s="249"/>
      <c r="J17" s="249"/>
      <c r="K17" s="249"/>
    </row>
    <row r="18" spans="1:11" s="183" customFormat="1" ht="15.75">
      <c r="A18" s="200"/>
      <c r="B18" s="193"/>
      <c r="C18" s="191"/>
      <c r="D18" s="191"/>
      <c r="E18" s="191"/>
      <c r="F18" s="191"/>
      <c r="G18" s="191"/>
      <c r="H18" s="191"/>
      <c r="I18" s="191"/>
      <c r="J18" s="191"/>
      <c r="K18" s="191"/>
    </row>
    <row r="19" spans="1:11" s="183" customFormat="1" ht="31.5" customHeight="1">
      <c r="A19" s="200" t="s">
        <v>153</v>
      </c>
      <c r="B19" s="249" t="s">
        <v>158</v>
      </c>
      <c r="C19" s="249"/>
      <c r="D19" s="249"/>
      <c r="E19" s="249"/>
      <c r="F19" s="249"/>
      <c r="G19" s="249"/>
      <c r="H19" s="249"/>
      <c r="I19" s="249"/>
      <c r="J19" s="249"/>
      <c r="K19" s="249"/>
    </row>
    <row r="20" spans="1:11" s="183" customFormat="1" ht="14.25">
      <c r="A20" s="184"/>
      <c r="B20" s="192"/>
      <c r="C20" s="191"/>
      <c r="D20" s="191"/>
      <c r="E20" s="191"/>
      <c r="F20" s="191"/>
      <c r="G20" s="191"/>
      <c r="H20" s="191"/>
      <c r="I20" s="191"/>
      <c r="J20" s="191"/>
      <c r="K20" s="191"/>
    </row>
    <row r="21" spans="1:11" s="183" customFormat="1" ht="33" customHeight="1">
      <c r="A21" s="184"/>
      <c r="B21" s="249" t="s">
        <v>157</v>
      </c>
      <c r="C21" s="249"/>
      <c r="D21" s="249"/>
      <c r="E21" s="249"/>
      <c r="F21" s="249"/>
      <c r="G21" s="249"/>
      <c r="H21" s="249"/>
      <c r="I21" s="249"/>
      <c r="J21" s="249"/>
      <c r="K21" s="249"/>
    </row>
    <row r="22" spans="1:11" s="183" customFormat="1" ht="26.25" customHeight="1">
      <c r="A22" s="184"/>
      <c r="B22" s="201" t="s">
        <v>161</v>
      </c>
      <c r="C22" s="193"/>
      <c r="D22" s="193"/>
      <c r="E22" s="193"/>
      <c r="F22" s="193"/>
      <c r="G22" s="193"/>
      <c r="H22" s="193"/>
      <c r="I22" s="193"/>
      <c r="J22" s="193"/>
      <c r="K22" s="193"/>
    </row>
    <row r="23" spans="1:11" s="183" customFormat="1" ht="15" thickBot="1">
      <c r="A23" s="184"/>
      <c r="B23" s="193"/>
      <c r="C23" s="193"/>
      <c r="D23" s="193"/>
      <c r="E23" s="193"/>
      <c r="F23" s="193"/>
      <c r="G23" s="193"/>
      <c r="H23" s="193"/>
      <c r="I23" s="193"/>
      <c r="J23" s="193"/>
      <c r="K23" s="193"/>
    </row>
    <row r="24" spans="1:14" ht="12" customHeight="1">
      <c r="A24" s="195"/>
      <c r="B24" s="196"/>
      <c r="C24" s="196"/>
      <c r="D24" s="196"/>
      <c r="E24" s="196"/>
      <c r="F24" s="196"/>
      <c r="G24" s="196"/>
      <c r="H24" s="196"/>
      <c r="I24" s="196"/>
      <c r="J24" s="196"/>
      <c r="K24" s="196"/>
      <c r="L24" s="196"/>
      <c r="M24" s="123"/>
      <c r="N24" s="139"/>
    </row>
    <row r="25" spans="1:14" ht="23.25" customHeight="1">
      <c r="A25" s="197"/>
      <c r="B25" s="194"/>
      <c r="C25" s="194"/>
      <c r="D25" s="199" t="s">
        <v>77</v>
      </c>
      <c r="E25" s="194"/>
      <c r="F25" s="194"/>
      <c r="G25" s="194"/>
      <c r="H25" s="194"/>
      <c r="I25" s="194"/>
      <c r="J25" s="194"/>
      <c r="K25" s="194"/>
      <c r="L25" s="194"/>
      <c r="M25" s="136"/>
      <c r="N25" s="97"/>
    </row>
    <row r="26" spans="1:14" ht="9.75" customHeight="1" thickBot="1">
      <c r="A26" s="197"/>
      <c r="B26" s="194"/>
      <c r="C26" s="194"/>
      <c r="D26" s="194"/>
      <c r="E26" s="194"/>
      <c r="F26" s="194"/>
      <c r="G26" s="194"/>
      <c r="H26" s="194"/>
      <c r="I26" s="194"/>
      <c r="J26" s="194"/>
      <c r="K26" s="194"/>
      <c r="L26" s="194"/>
      <c r="M26" s="136"/>
      <c r="N26" s="97"/>
    </row>
    <row r="27" spans="1:54" ht="16.5" customHeight="1" thickBot="1">
      <c r="A27" s="91"/>
      <c r="B27" s="92"/>
      <c r="C27" s="93"/>
      <c r="D27" s="94"/>
      <c r="E27" s="95"/>
      <c r="F27" s="95"/>
      <c r="G27" s="94"/>
      <c r="H27" s="94"/>
      <c r="I27" s="96"/>
      <c r="J27" s="88" t="s">
        <v>3</v>
      </c>
      <c r="K27" s="88" t="s">
        <v>2</v>
      </c>
      <c r="L27" s="136"/>
      <c r="M27" s="136"/>
      <c r="N27" s="97"/>
      <c r="Z27" s="3"/>
      <c r="AA27" s="3"/>
      <c r="AG27" s="2"/>
      <c r="AH27" s="2"/>
      <c r="AK27" s="19"/>
      <c r="AM27" s="2"/>
      <c r="AZ27" s="3"/>
      <c r="BB27" s="2"/>
    </row>
    <row r="28" spans="1:54" ht="15" customHeight="1" thickBot="1">
      <c r="A28" s="91"/>
      <c r="B28" s="235" t="s">
        <v>13</v>
      </c>
      <c r="C28" s="236"/>
      <c r="D28" s="57">
        <v>2</v>
      </c>
      <c r="E28" s="58" t="str">
        <f>IF(D28=1,"140",IF(D28=2,"152",IF(D28=3,"165",IF(D28=4,"180","BAD"))))</f>
        <v>152</v>
      </c>
      <c r="F28" s="59" t="str">
        <f>IF(E28="140","PTO Hp",IF(E28="152","PTO Hp",IF(E28="165","PTO Hp",IF(E28="180","PTO Hp",""))))</f>
        <v>PTO Hp</v>
      </c>
      <c r="G28" s="60"/>
      <c r="H28" s="60"/>
      <c r="I28" s="61"/>
      <c r="J28" s="62">
        <v>5273</v>
      </c>
      <c r="K28" s="62">
        <v>9883</v>
      </c>
      <c r="L28" s="136"/>
      <c r="M28" s="136"/>
      <c r="N28" s="97"/>
      <c r="Z28" s="3"/>
      <c r="AA28" s="3"/>
      <c r="AG28" s="2"/>
      <c r="AH28" s="2"/>
      <c r="AK28" s="19"/>
      <c r="AM28" s="2"/>
      <c r="AZ28" s="3"/>
      <c r="BB28" s="2"/>
    </row>
    <row r="29" spans="1:54" ht="15" customHeight="1" thickBot="1">
      <c r="A29" s="91"/>
      <c r="B29" s="235" t="s">
        <v>23</v>
      </c>
      <c r="C29" s="236"/>
      <c r="D29" s="57">
        <v>2</v>
      </c>
      <c r="E29" s="225" t="str">
        <f>IF(D29=1,"2WD",IF(D29=2,"1100",IF(D29=3,"1150",IF(D29=4,"TLS","ERROR"))))</f>
        <v>1100</v>
      </c>
      <c r="F29" s="224"/>
      <c r="G29" s="63"/>
      <c r="H29" s="64"/>
      <c r="I29" s="65">
        <f>IF(D28=3,IF(D29=2,"1100 N/A WITH 7830",""),IF(D28=4,IF(D29&lt;3,"1150 or TLS ONLY WITH 7930",""),""))</f>
      </c>
      <c r="J29" s="62"/>
      <c r="K29" s="62"/>
      <c r="L29" s="136"/>
      <c r="M29" s="136"/>
      <c r="N29" s="97"/>
      <c r="Z29" s="3"/>
      <c r="AA29" s="3"/>
      <c r="AG29" s="2"/>
      <c r="AH29" s="2"/>
      <c r="AK29" s="19"/>
      <c r="AM29" s="2"/>
      <c r="AZ29" s="3"/>
      <c r="BB29" s="2"/>
    </row>
    <row r="30" spans="1:54" ht="15" customHeight="1" thickBot="1">
      <c r="A30" s="91"/>
      <c r="B30" s="235" t="s">
        <v>37</v>
      </c>
      <c r="C30" s="236"/>
      <c r="D30" s="57">
        <v>2</v>
      </c>
      <c r="E30" s="225" t="str">
        <f>IF(D30=1,"PQ+",IF(D30=2,"AQ+",IF(D30=3,"IVT","ERROR")))</f>
        <v>AQ+</v>
      </c>
      <c r="F30" s="224"/>
      <c r="G30" s="66">
        <f>IF(D30=3,IF(D29=1,"PQ or AQ only with 2WD",""),"")</f>
      </c>
      <c r="H30" s="198"/>
      <c r="I30" s="67"/>
      <c r="J30" s="62"/>
      <c r="K30" s="62"/>
      <c r="L30" s="136"/>
      <c r="M30" s="136"/>
      <c r="N30" s="97"/>
      <c r="Z30" s="3"/>
      <c r="AA30" s="3"/>
      <c r="AG30" s="2"/>
      <c r="AH30" s="2"/>
      <c r="AK30" s="19"/>
      <c r="AM30" s="2"/>
      <c r="AZ30" s="3"/>
      <c r="BB30" s="2"/>
    </row>
    <row r="31" spans="1:54" ht="15" customHeight="1" thickBot="1">
      <c r="A31" s="91"/>
      <c r="B31" s="235" t="s">
        <v>144</v>
      </c>
      <c r="C31" s="236"/>
      <c r="D31" s="57">
        <v>18</v>
      </c>
      <c r="E31" s="250" t="str">
        <f>VLOOKUP(D31,'7030 Wheel Data Sheet'!BQ100:BS126,3,FALSE)</f>
        <v>16.9R30</v>
      </c>
      <c r="F31" s="226"/>
      <c r="G31" s="68">
        <f>VLOOKUP(D31,'7030 Wheel Data Sheet'!BQ100:BS126,2,FALSE)</f>
        <v>42</v>
      </c>
      <c r="H31" s="170">
        <f>IF(D29&lt;2,IF(D31&gt;6,"SELECT 2WD TIRE",""),"")</f>
      </c>
      <c r="I31" s="171">
        <f>IF(D29&gt;1,IF(D31&lt;7,"Select MFWD Tire",""),"")</f>
      </c>
      <c r="J31" s="62">
        <f>IF(D29=1,"0",VLOOKUP(D32,'7030 Wheel Data Sheet'!L21:AI40,23,FALSE))</f>
        <v>1504</v>
      </c>
      <c r="K31" s="62"/>
      <c r="L31" s="136"/>
      <c r="M31" s="136"/>
      <c r="N31" s="97"/>
      <c r="Z31" s="3"/>
      <c r="AA31" s="3"/>
      <c r="AG31" s="2"/>
      <c r="AH31" s="2"/>
      <c r="AK31" s="19"/>
      <c r="AM31" s="2"/>
      <c r="AZ31" s="3"/>
      <c r="BB31" s="2"/>
    </row>
    <row r="32" spans="1:54" ht="15" customHeight="1" thickBot="1">
      <c r="A32" s="91"/>
      <c r="B32" s="235" t="s">
        <v>145</v>
      </c>
      <c r="C32" s="236"/>
      <c r="D32" s="57">
        <v>10</v>
      </c>
      <c r="E32" s="247" t="str">
        <f>VLOOKUP(D32,'7030 Wheel Data Sheet'!L21:N40,3,FALSE)</f>
        <v>480/80R46</v>
      </c>
      <c r="F32" s="224"/>
      <c r="G32" s="69">
        <f>VLOOKUP(D32,'7030 Wheel Data Sheet'!L21:N40,2)</f>
        <v>47</v>
      </c>
      <c r="H32" s="68"/>
      <c r="I32" s="202">
        <f>IF(G31="2wd","",(IF(G32-G31=5,"","MUST HAVE 5 STEP RCI")))</f>
      </c>
      <c r="J32" s="62"/>
      <c r="K32" s="62">
        <f>VLOOKUP(D32,'7030 Wheel Data Sheet'!L21:AI40,24,FALSE)</f>
        <v>3656</v>
      </c>
      <c r="L32" s="136"/>
      <c r="M32" s="136"/>
      <c r="N32" s="97"/>
      <c r="Z32" s="3"/>
      <c r="AA32" s="3"/>
      <c r="AG32" s="2"/>
      <c r="AH32" s="2"/>
      <c r="AK32" s="19"/>
      <c r="AM32" s="2"/>
      <c r="AZ32" s="3"/>
      <c r="BB32" s="2"/>
    </row>
    <row r="33" spans="1:54" ht="18" customHeight="1" thickBot="1">
      <c r="A33" s="91"/>
      <c r="B33" s="244" t="s">
        <v>78</v>
      </c>
      <c r="C33" s="236"/>
      <c r="D33" s="70">
        <v>1</v>
      </c>
      <c r="E33" s="250" t="str">
        <f>IF(D33=1," Cast",IF(D33=2,"Steel","BAD"))</f>
        <v> Cast</v>
      </c>
      <c r="F33" s="224"/>
      <c r="G33" s="66"/>
      <c r="H33" s="66"/>
      <c r="I33" s="198"/>
      <c r="J33" s="62"/>
      <c r="K33" s="62">
        <f>IF(D33=2,(0),(220))</f>
        <v>220</v>
      </c>
      <c r="L33" s="136"/>
      <c r="M33" s="136"/>
      <c r="N33" s="97"/>
      <c r="Z33" s="3"/>
      <c r="AA33" s="3"/>
      <c r="AG33" s="2"/>
      <c r="AH33" s="2"/>
      <c r="AK33" s="19"/>
      <c r="AM33" s="2"/>
      <c r="AZ33" s="3"/>
      <c r="BB33" s="2"/>
    </row>
    <row r="34" spans="1:54" ht="18" customHeight="1" thickBot="1">
      <c r="A34" s="91"/>
      <c r="B34" s="244" t="s">
        <v>36</v>
      </c>
      <c r="C34" s="236"/>
      <c r="D34" s="57">
        <v>1</v>
      </c>
      <c r="E34" s="250" t="str">
        <f>IF(D34=1,"REAR DUALS",IF(D34=2,"NO REAR DUALS","BAD"))</f>
        <v>REAR DUALS</v>
      </c>
      <c r="F34" s="224"/>
      <c r="G34" s="66"/>
      <c r="H34" s="72"/>
      <c r="I34" s="71"/>
      <c r="J34" s="62"/>
      <c r="K34" s="73"/>
      <c r="L34" s="136"/>
      <c r="M34" s="136"/>
      <c r="N34" s="97"/>
      <c r="Z34" s="3"/>
      <c r="AA34" s="3"/>
      <c r="AG34" s="2"/>
      <c r="AH34" s="2"/>
      <c r="AK34" s="19"/>
      <c r="AM34" s="2"/>
      <c r="AZ34" s="3"/>
      <c r="BB34" s="2"/>
    </row>
    <row r="35" spans="1:54" ht="13.5" customHeight="1" thickBot="1">
      <c r="A35" s="91"/>
      <c r="B35" s="123"/>
      <c r="C35" s="123"/>
      <c r="D35" s="120"/>
      <c r="E35" s="120"/>
      <c r="F35" s="120"/>
      <c r="G35" s="124"/>
      <c r="H35" s="233" t="s">
        <v>24</v>
      </c>
      <c r="I35" s="234"/>
      <c r="J35" s="74">
        <f>SUM(J28:J34)</f>
        <v>6777</v>
      </c>
      <c r="K35" s="74">
        <f>SUM(K28:K34)</f>
        <v>13759</v>
      </c>
      <c r="L35" s="136"/>
      <c r="M35" s="136"/>
      <c r="N35" s="97"/>
      <c r="Z35" s="3"/>
      <c r="AA35" s="3"/>
      <c r="AG35" s="2"/>
      <c r="AH35" s="2"/>
      <c r="AK35" s="19"/>
      <c r="AM35" s="2"/>
      <c r="AZ35" s="3"/>
      <c r="BB35" s="2"/>
    </row>
    <row r="36" spans="1:54" ht="6" customHeight="1" thickBot="1">
      <c r="A36" s="91"/>
      <c r="B36" s="118"/>
      <c r="C36" s="119"/>
      <c r="D36" s="112"/>
      <c r="E36" s="112"/>
      <c r="F36" s="112"/>
      <c r="G36" s="112"/>
      <c r="H36" s="120"/>
      <c r="I36" s="121"/>
      <c r="J36" s="122"/>
      <c r="K36" s="122"/>
      <c r="L36" s="136"/>
      <c r="M36" s="136"/>
      <c r="N36" s="97"/>
      <c r="Z36" s="3"/>
      <c r="AA36" s="3"/>
      <c r="AG36" s="2"/>
      <c r="AH36" s="2"/>
      <c r="AK36" s="19"/>
      <c r="AM36" s="2"/>
      <c r="AZ36" s="3"/>
      <c r="BB36" s="2"/>
    </row>
    <row r="37" spans="1:54" ht="15" customHeight="1" thickBot="1">
      <c r="A37" s="91"/>
      <c r="B37" s="75"/>
      <c r="C37" s="76" t="s">
        <v>167</v>
      </c>
      <c r="D37" s="57">
        <v>2</v>
      </c>
      <c r="E37" s="241"/>
      <c r="F37" s="242"/>
      <c r="G37" s="242"/>
      <c r="H37" s="242"/>
      <c r="I37" s="242"/>
      <c r="J37" s="242"/>
      <c r="K37" s="242"/>
      <c r="L37" s="136"/>
      <c r="M37" s="136"/>
      <c r="N37" s="97"/>
      <c r="Z37" s="3"/>
      <c r="AA37" s="3"/>
      <c r="AG37" s="2"/>
      <c r="AH37" s="2"/>
      <c r="AK37" s="19"/>
      <c r="AM37" s="2"/>
      <c r="AZ37" s="3"/>
      <c r="BB37" s="2"/>
    </row>
    <row r="38" spans="1:54" ht="15" customHeight="1" thickBot="1">
      <c r="A38" s="91"/>
      <c r="B38" s="239">
        <f>IF(D37=3,"If Loader;      Proceed to Table Below","")</f>
      </c>
      <c r="C38" s="240"/>
      <c r="D38" s="112"/>
      <c r="E38" s="112"/>
      <c r="F38" s="112"/>
      <c r="G38" s="112"/>
      <c r="H38" s="112"/>
      <c r="I38" s="113"/>
      <c r="J38" s="165"/>
      <c r="K38" s="165"/>
      <c r="L38" s="136"/>
      <c r="M38" s="136"/>
      <c r="N38" s="97"/>
      <c r="Z38" s="3"/>
      <c r="AA38" s="3"/>
      <c r="AG38" s="2"/>
      <c r="AH38" s="2"/>
      <c r="AK38" s="19"/>
      <c r="AM38" s="2"/>
      <c r="AZ38" s="3"/>
      <c r="BB38" s="2"/>
    </row>
    <row r="39" spans="1:54" ht="15" customHeight="1" thickBot="1">
      <c r="A39" s="91"/>
      <c r="B39" s="239" t="str">
        <f>IF(D37=2,"If Integral;     Select Implement Code","")</f>
        <v>If Integral;     Select Implement Code</v>
      </c>
      <c r="C39" s="240"/>
      <c r="D39" s="57">
        <v>13</v>
      </c>
      <c r="E39" s="203" t="str">
        <f>IF(D37=2,"For More Information on Implement Codes- See Operator's Manual","")</f>
        <v>For More Information on Implement Codes- See Operator's Manual</v>
      </c>
      <c r="F39" s="112"/>
      <c r="G39" s="112"/>
      <c r="H39" s="112"/>
      <c r="I39" s="113"/>
      <c r="J39" s="165"/>
      <c r="K39" s="165"/>
      <c r="L39" s="136"/>
      <c r="M39" s="136"/>
      <c r="N39" s="97"/>
      <c r="Z39" s="3"/>
      <c r="AA39" s="3"/>
      <c r="AG39" s="2"/>
      <c r="AH39" s="2"/>
      <c r="AK39" s="19"/>
      <c r="AM39" s="2"/>
      <c r="AZ39" s="3"/>
      <c r="BB39" s="2"/>
    </row>
    <row r="40" spans="1:54" ht="15" customHeight="1" thickBot="1">
      <c r="A40" s="91"/>
      <c r="B40" s="239">
        <f>IF(D37=1,"If Drawn;              Select Ballast Level","")</f>
      </c>
      <c r="C40" s="240"/>
      <c r="D40" s="57">
        <v>3</v>
      </c>
      <c r="E40" s="111"/>
      <c r="F40" s="112"/>
      <c r="G40" s="112"/>
      <c r="H40" s="112"/>
      <c r="I40" s="113"/>
      <c r="J40" s="114"/>
      <c r="K40" s="114"/>
      <c r="L40" s="136"/>
      <c r="M40" s="136"/>
      <c r="N40" s="97"/>
      <c r="Z40" s="3"/>
      <c r="AA40" s="3"/>
      <c r="AG40" s="2"/>
      <c r="AH40" s="2"/>
      <c r="AK40" s="19"/>
      <c r="AM40" s="2"/>
      <c r="AZ40" s="3"/>
      <c r="BB40" s="2"/>
    </row>
    <row r="41" spans="1:54" ht="10.5" customHeight="1" thickBot="1">
      <c r="A41" s="91"/>
      <c r="B41" s="125"/>
      <c r="C41" s="126"/>
      <c r="D41" s="127"/>
      <c r="E41" s="115"/>
      <c r="F41" s="115"/>
      <c r="G41" s="115"/>
      <c r="H41" s="115"/>
      <c r="I41" s="116"/>
      <c r="J41" s="117"/>
      <c r="K41" s="117"/>
      <c r="L41" s="136"/>
      <c r="M41" s="136"/>
      <c r="N41" s="97"/>
      <c r="Z41" s="3"/>
      <c r="AA41" s="3"/>
      <c r="AG41" s="2"/>
      <c r="AH41" s="2"/>
      <c r="AK41" s="19"/>
      <c r="AM41" s="2"/>
      <c r="AZ41" s="3"/>
      <c r="BB41" s="2"/>
    </row>
    <row r="42" spans="1:14" s="18" customFormat="1" ht="26.25" thickBot="1">
      <c r="A42" s="100"/>
      <c r="B42" s="77" t="s">
        <v>67</v>
      </c>
      <c r="C42" s="83" t="s">
        <v>25</v>
      </c>
      <c r="D42" s="78" t="s">
        <v>124</v>
      </c>
      <c r="E42" s="237" t="s">
        <v>71</v>
      </c>
      <c r="F42" s="238"/>
      <c r="G42" s="79" t="s">
        <v>18</v>
      </c>
      <c r="H42" s="79" t="s">
        <v>17</v>
      </c>
      <c r="I42" s="79" t="s">
        <v>20</v>
      </c>
      <c r="J42" s="80"/>
      <c r="K42" s="80"/>
      <c r="L42" s="137"/>
      <c r="M42" s="137"/>
      <c r="N42" s="98"/>
    </row>
    <row r="43" spans="1:54" ht="15" customHeight="1" thickBot="1">
      <c r="A43" s="91"/>
      <c r="B43" s="185">
        <f>IF(D37=1,VLOOKUP(D29,E65:K68,7,"False"),"")</f>
      </c>
      <c r="C43" s="188">
        <v>3</v>
      </c>
      <c r="D43" s="221">
        <f>VLOOKUP(C43,'7030 Wheel Data Sheet'!AJ44:AQ62,4,FALSE)</f>
        <v>1</v>
      </c>
      <c r="E43" s="245">
        <f>VLOOKUP(C43,'7030 Wheel Data Sheet'!AJ44:AQ62,5,FALSE)</f>
        <v>4</v>
      </c>
      <c r="F43" s="246"/>
      <c r="G43" s="222">
        <f>VLOOKUP(C43,'7030 Wheel Data Sheet'!AJ44:AQ62,6,FALSE)</f>
        <v>0</v>
      </c>
      <c r="H43" s="222">
        <f>VLOOKUP(C43,'7030 Wheel Data Sheet'!AJ44:AQ62,7,FALSE)</f>
        <v>0</v>
      </c>
      <c r="I43" s="222">
        <f>VLOOKUP(C43,'7030 Wheel Data Sheet'!AJ44:AQ62,8,FALSE)</f>
        <v>0</v>
      </c>
      <c r="J43" s="82">
        <f>(D43*225)+(E43*147)</f>
        <v>813</v>
      </c>
      <c r="K43" s="82">
        <f>(D43*-72)+(E43*-47)+(G43*330)+(H43*900)+(I43*2800)</f>
        <v>-260</v>
      </c>
      <c r="L43" s="173">
        <f>IF(C43&gt;17,IF(D34=2,"Must Have Rear Duals",""),"")</f>
      </c>
      <c r="M43" s="135"/>
      <c r="N43" s="138"/>
      <c r="Z43" s="3"/>
      <c r="AA43" s="3"/>
      <c r="AG43" s="2"/>
      <c r="AH43" s="2"/>
      <c r="AK43" s="19"/>
      <c r="AM43" s="2"/>
      <c r="AZ43" s="3"/>
      <c r="BB43" s="2"/>
    </row>
    <row r="44" spans="1:54" ht="15" customHeight="1" thickBot="1">
      <c r="A44" s="91"/>
      <c r="B44" s="186" t="str">
        <f>IF(D37=2,VLOOKUP(D39,'7030 Wheel Data Sheet'!CZ161:DL183,13,FALSE),"")</f>
        <v>9412 &amp; 9264</v>
      </c>
      <c r="C44" s="188">
        <v>12</v>
      </c>
      <c r="D44" s="221">
        <f>VLOOKUP(C44,'7030 Wheel Data Sheet'!AJ44:AQ62,4,FALSE)</f>
        <v>0</v>
      </c>
      <c r="E44" s="247">
        <f>VLOOKUP(C44,'7030 Wheel Data Sheet'!AJ44:AQ62,5,FALSE)</f>
        <v>0</v>
      </c>
      <c r="F44" s="248"/>
      <c r="G44" s="222">
        <f>VLOOKUP(C44,'7030 Wheel Data Sheet'!AJ44:AQ62,6,FALSE)</f>
        <v>0</v>
      </c>
      <c r="H44" s="222">
        <f>VLOOKUP(C44,'7030 Wheel Data Sheet'!AJ44:AQ62,7,FALSE)</f>
        <v>1</v>
      </c>
      <c r="I44" s="222">
        <f>VLOOKUP(C44,'7030 Wheel Data Sheet'!AJ44:AQ62,8,FALSE)</f>
        <v>0</v>
      </c>
      <c r="J44" s="82">
        <f>(D44*225)+(E44*147)</f>
        <v>0</v>
      </c>
      <c r="K44" s="82">
        <f>(D44*-72)+(E44*-47)+(G44*330)+(H44*900)+(I44*2800)</f>
        <v>900</v>
      </c>
      <c r="L44" s="134">
        <f>IF(C44&gt;17,IF(D34=2,"Must Have Rear Duals",""),"")</f>
      </c>
      <c r="M44" s="135"/>
      <c r="N44" s="138"/>
      <c r="Z44" s="3"/>
      <c r="AA44" s="3"/>
      <c r="AG44" s="2"/>
      <c r="AH44" s="2"/>
      <c r="AK44" s="19"/>
      <c r="AM44" s="2"/>
      <c r="AZ44" s="3"/>
      <c r="BB44" s="2"/>
    </row>
    <row r="45" spans="1:54" ht="15" customHeight="1" thickBot="1">
      <c r="A45" s="91"/>
      <c r="B45" s="187">
        <f>IF(D37=3,IF(D33=2,'7030 Wheel Data Sheet'!DO187,'7030 Wheel Data Sheet'!DN187),"")</f>
      </c>
      <c r="C45" s="188">
        <v>1</v>
      </c>
      <c r="D45" s="221">
        <f>VLOOKUP(C45,'7030 Wheel Data Sheet'!AJ44:AQ62,4,FALSE)</f>
        <v>0</v>
      </c>
      <c r="E45" s="247">
        <f>VLOOKUP(C45,'7030 Wheel Data Sheet'!AJ44:AQ62,5,FALSE)</f>
        <v>0</v>
      </c>
      <c r="F45" s="248"/>
      <c r="G45" s="222">
        <f>VLOOKUP(C45,'7030 Wheel Data Sheet'!AJ44:AQ62,6,FALSE)</f>
        <v>0</v>
      </c>
      <c r="H45" s="222">
        <f>VLOOKUP(C45,'7030 Wheel Data Sheet'!AJ44:AQ62,7,FALSE)</f>
        <v>0</v>
      </c>
      <c r="I45" s="222">
        <f>VLOOKUP(C45,'7030 Wheel Data Sheet'!AJ44:AQ62,8,FALSE)</f>
        <v>0</v>
      </c>
      <c r="J45" s="82">
        <f>(D45*225)+(E45*147)</f>
        <v>0</v>
      </c>
      <c r="K45" s="82">
        <f>(D45*-72)+(E45*-47)+(G45*330)+(H45*900)+(I45*2800)</f>
        <v>0</v>
      </c>
      <c r="L45" s="173">
        <f>IF(C45&gt;17,IF(D34=2,"Must Have Rear Duals for this ballast code",""),"")</f>
      </c>
      <c r="M45" s="135"/>
      <c r="N45" s="138"/>
      <c r="Z45" s="3"/>
      <c r="AA45" s="3"/>
      <c r="AG45" s="2"/>
      <c r="AH45" s="2"/>
      <c r="AK45" s="19"/>
      <c r="AM45" s="2"/>
      <c r="AZ45" s="3"/>
      <c r="BB45" s="2"/>
    </row>
    <row r="46" spans="1:54" ht="9.75" customHeight="1" thickBot="1">
      <c r="A46" s="91"/>
      <c r="B46" s="132"/>
      <c r="C46" s="133"/>
      <c r="D46" s="129"/>
      <c r="E46" s="130"/>
      <c r="F46" s="130"/>
      <c r="G46" s="136"/>
      <c r="H46" s="136"/>
      <c r="I46" s="136"/>
      <c r="J46" s="131"/>
      <c r="K46" s="131"/>
      <c r="L46" s="136"/>
      <c r="M46" s="136"/>
      <c r="N46" s="97"/>
      <c r="Z46" s="3"/>
      <c r="AA46" s="3"/>
      <c r="AG46" s="2"/>
      <c r="AH46" s="2"/>
      <c r="AK46" s="19"/>
      <c r="AM46" s="2"/>
      <c r="AZ46" s="3"/>
      <c r="BB46" s="2"/>
    </row>
    <row r="47" spans="1:54" ht="13.5" thickBot="1">
      <c r="A47" s="91"/>
      <c r="B47" s="233" t="s">
        <v>160</v>
      </c>
      <c r="C47" s="234"/>
      <c r="D47" s="128"/>
      <c r="E47" s="136"/>
      <c r="F47" s="136"/>
      <c r="G47" s="136"/>
      <c r="H47" s="136"/>
      <c r="I47" s="136"/>
      <c r="J47" s="114"/>
      <c r="K47" s="114"/>
      <c r="L47" s="136"/>
      <c r="M47" s="136"/>
      <c r="N47" s="97"/>
      <c r="Z47" s="3"/>
      <c r="AA47" s="3"/>
      <c r="AG47" s="2"/>
      <c r="AH47" s="2"/>
      <c r="AK47" s="19"/>
      <c r="AM47" s="2"/>
      <c r="AZ47" s="3"/>
      <c r="BB47" s="2"/>
    </row>
    <row r="48" spans="1:54" ht="13.5" thickBot="1">
      <c r="A48" s="91"/>
      <c r="B48" s="204"/>
      <c r="C48" s="206" t="s">
        <v>166</v>
      </c>
      <c r="D48" s="208">
        <v>1</v>
      </c>
      <c r="E48" s="209">
        <f>IF((D48-1)+D43+D44+D45&gt;1,"Max (1) Front Weight Support","")</f>
      </c>
      <c r="F48" s="212"/>
      <c r="G48" s="212"/>
      <c r="H48" s="212"/>
      <c r="I48" s="207"/>
      <c r="J48" s="62">
        <f>(D48-1)*225</f>
        <v>0</v>
      </c>
      <c r="K48" s="62">
        <f>(D48-1)*-72</f>
        <v>0</v>
      </c>
      <c r="L48" s="136"/>
      <c r="M48" s="136"/>
      <c r="N48" s="97"/>
      <c r="Z48" s="3"/>
      <c r="AA48" s="3"/>
      <c r="AG48" s="2"/>
      <c r="AH48" s="2"/>
      <c r="AK48" s="19"/>
      <c r="AM48" s="2"/>
      <c r="AZ48" s="3"/>
      <c r="BB48" s="2"/>
    </row>
    <row r="49" spans="1:54" ht="15.75" customHeight="1" thickBot="1">
      <c r="A49" s="91"/>
      <c r="B49" s="235" t="s">
        <v>60</v>
      </c>
      <c r="C49" s="236"/>
      <c r="D49" s="57">
        <v>1</v>
      </c>
      <c r="E49" s="210">
        <f>IF(((D49-1)*2+E43+E44+E45)&gt;22,"Max (20) Front Weights Total","")</f>
      </c>
      <c r="F49" s="213"/>
      <c r="G49" s="214"/>
      <c r="H49" s="215"/>
      <c r="I49" s="205"/>
      <c r="J49" s="62">
        <f>((D49-1)*2*147)</f>
        <v>0</v>
      </c>
      <c r="K49" s="62">
        <f>((D49-1)*2*-47)</f>
        <v>0</v>
      </c>
      <c r="L49" s="136"/>
      <c r="M49" s="136"/>
      <c r="N49" s="97"/>
      <c r="Z49" s="3"/>
      <c r="AA49" s="3"/>
      <c r="AG49" s="2"/>
      <c r="AH49" s="2"/>
      <c r="AK49" s="19"/>
      <c r="AM49" s="2"/>
      <c r="AZ49" s="3"/>
      <c r="BB49" s="2"/>
    </row>
    <row r="50" spans="1:54" ht="15.75" customHeight="1" thickBot="1">
      <c r="A50" s="91"/>
      <c r="B50" s="235" t="s">
        <v>7</v>
      </c>
      <c r="C50" s="236"/>
      <c r="D50" s="57">
        <v>1</v>
      </c>
      <c r="E50" s="211">
        <f>IF(((D50-1)+G43+G44+G45)&gt;2,"Max (2) 165 lb Rear Weights per Side","")</f>
      </c>
      <c r="F50" s="216"/>
      <c r="G50" s="217"/>
      <c r="H50" s="215"/>
      <c r="I50" s="205"/>
      <c r="J50" s="62"/>
      <c r="K50" s="62">
        <f>IF(D50&gt;1,(D50-1)*165*2,0)</f>
        <v>0</v>
      </c>
      <c r="L50" s="136"/>
      <c r="M50" s="136"/>
      <c r="N50" s="97"/>
      <c r="Z50" s="3"/>
      <c r="AA50" s="3"/>
      <c r="AG50" s="2"/>
      <c r="AH50" s="2"/>
      <c r="AK50" s="19"/>
      <c r="AM50" s="2"/>
      <c r="AZ50" s="3"/>
      <c r="BB50" s="2"/>
    </row>
    <row r="51" spans="1:54" ht="17.25" customHeight="1" thickBot="1">
      <c r="A51" s="91"/>
      <c r="B51" s="235" t="s">
        <v>8</v>
      </c>
      <c r="C51" s="236"/>
      <c r="D51" s="57">
        <v>1</v>
      </c>
      <c r="E51" s="211">
        <f>IF(E34="NO REAR DUALS",IF(((D51-1)+H43+H44+H45)&gt;IF(((D52-1)+I43+I44+I45)&gt;1,0,2),"Exceeded Max # of 450's per Side",""),IF(((D51-1)+H43+H44+H45)&gt;IF(((D52-1)+I43+I44+I45)&gt;0,3,4),"Exceeded Max # of 450's per Side",""))</f>
      </c>
      <c r="F51" s="216"/>
      <c r="G51" s="215"/>
      <c r="H51" s="198"/>
      <c r="I51" s="205"/>
      <c r="J51" s="62"/>
      <c r="K51" s="62">
        <f>IF(D51&gt;1,(D51-1)*450*2,0)</f>
        <v>0</v>
      </c>
      <c r="L51" s="107"/>
      <c r="M51" s="136"/>
      <c r="N51" s="97"/>
      <c r="Z51" s="3"/>
      <c r="AA51" s="3"/>
      <c r="AG51" s="2"/>
      <c r="AH51" s="2"/>
      <c r="AK51" s="19"/>
      <c r="AM51" s="2"/>
      <c r="AZ51" s="3"/>
      <c r="BB51" s="2"/>
    </row>
    <row r="52" spans="1:54" ht="16.5" customHeight="1" thickBot="1">
      <c r="A52" s="91"/>
      <c r="B52" s="235" t="s">
        <v>11</v>
      </c>
      <c r="C52" s="236"/>
      <c r="D52" s="57">
        <v>1</v>
      </c>
      <c r="E52" s="210">
        <f>IF(((D52-1)+I43+I44+I45)&gt;1,"Max (1) 1400 lb Rear Wheel Weight per Side","")</f>
      </c>
      <c r="F52" s="216"/>
      <c r="G52" s="215"/>
      <c r="H52" s="215"/>
      <c r="I52" s="218"/>
      <c r="J52" s="62"/>
      <c r="K52" s="62">
        <f>IF(D52&gt;0,(D52-1)*1400*2,0)</f>
        <v>0</v>
      </c>
      <c r="L52" s="136"/>
      <c r="M52" s="136"/>
      <c r="N52" s="97"/>
      <c r="Z52" s="3"/>
      <c r="AA52" s="3"/>
      <c r="AG52" s="2"/>
      <c r="AH52" s="2"/>
      <c r="AK52" s="19"/>
      <c r="AM52" s="2"/>
      <c r="AZ52" s="3"/>
      <c r="BB52" s="2"/>
    </row>
    <row r="53" spans="1:54" ht="13.5" thickBot="1">
      <c r="A53" s="91"/>
      <c r="B53" s="92"/>
      <c r="C53" s="106"/>
      <c r="D53" s="107"/>
      <c r="E53" s="108"/>
      <c r="F53" s="108"/>
      <c r="G53" s="108"/>
      <c r="H53" s="231" t="s">
        <v>70</v>
      </c>
      <c r="I53" s="232"/>
      <c r="J53" s="74">
        <f>SUM(J35:J52)</f>
        <v>7590</v>
      </c>
      <c r="K53" s="74">
        <f>SUM(K35:K52)</f>
        <v>14399</v>
      </c>
      <c r="L53" s="136"/>
      <c r="M53" s="136"/>
      <c r="N53" s="97"/>
      <c r="Z53" s="3"/>
      <c r="AA53" s="3"/>
      <c r="AG53" s="2"/>
      <c r="AH53" s="2"/>
      <c r="AK53" s="19"/>
      <c r="AM53" s="2"/>
      <c r="AZ53" s="3"/>
      <c r="BB53" s="2"/>
    </row>
    <row r="54" spans="1:54" ht="8.25" customHeight="1" thickBot="1">
      <c r="A54" s="91"/>
      <c r="B54" s="92"/>
      <c r="C54" s="106"/>
      <c r="D54" s="107"/>
      <c r="E54" s="108"/>
      <c r="F54" s="108"/>
      <c r="G54" s="108"/>
      <c r="H54" s="108"/>
      <c r="I54" s="108"/>
      <c r="J54" s="107"/>
      <c r="K54" s="107"/>
      <c r="L54" s="136"/>
      <c r="M54" s="136"/>
      <c r="N54" s="97"/>
      <c r="Z54" s="3"/>
      <c r="AA54" s="3"/>
      <c r="AG54" s="2"/>
      <c r="AH54" s="2"/>
      <c r="AK54" s="19"/>
      <c r="AM54" s="2"/>
      <c r="AZ54" s="3"/>
      <c r="BB54" s="2"/>
    </row>
    <row r="55" spans="1:54" ht="16.5" customHeight="1" thickBot="1">
      <c r="A55" s="91"/>
      <c r="B55" s="92"/>
      <c r="C55" s="81" t="s">
        <v>9</v>
      </c>
      <c r="D55" s="81" t="s">
        <v>12</v>
      </c>
      <c r="E55" s="109"/>
      <c r="F55" s="109"/>
      <c r="G55" s="81" t="s">
        <v>16</v>
      </c>
      <c r="H55" s="81" t="s">
        <v>15</v>
      </c>
      <c r="I55" s="108"/>
      <c r="J55" s="87" t="s">
        <v>5</v>
      </c>
      <c r="K55" s="87" t="s">
        <v>6</v>
      </c>
      <c r="L55" s="136"/>
      <c r="M55" s="136"/>
      <c r="N55" s="97"/>
      <c r="Z55" s="3"/>
      <c r="AA55" s="3"/>
      <c r="AG55" s="2"/>
      <c r="AH55" s="2"/>
      <c r="AK55" s="19"/>
      <c r="AM55" s="2"/>
      <c r="AZ55" s="3"/>
      <c r="BB55" s="2"/>
    </row>
    <row r="56" spans="1:54" ht="16.5" customHeight="1" thickBot="1">
      <c r="A56" s="91"/>
      <c r="B56" s="92"/>
      <c r="C56" s="84">
        <f>K53+J53</f>
        <v>21989</v>
      </c>
      <c r="D56" s="84">
        <f>C56/E28</f>
        <v>144.66447368421052</v>
      </c>
      <c r="E56" s="110"/>
      <c r="F56" s="110"/>
      <c r="G56" s="85">
        <f>IF(D37=3,"See OM",VLOOKUP(J53,'7030 Wheel Data Sheet'!CX128:CY154,2))</f>
        <v>15</v>
      </c>
      <c r="H56" s="85">
        <f>VLOOKUP(K53,'7030 Wheel Data Sheet'!BO68:BP97,2)</f>
        <v>8</v>
      </c>
      <c r="I56" s="108"/>
      <c r="J56" s="86">
        <f>J53/C56</f>
        <v>0.34517258629314657</v>
      </c>
      <c r="K56" s="86">
        <f>K53/C56</f>
        <v>0.6548274137068534</v>
      </c>
      <c r="L56" s="136"/>
      <c r="M56" s="136"/>
      <c r="N56" s="97"/>
      <c r="Z56" s="3"/>
      <c r="AA56" s="3"/>
      <c r="AG56" s="2"/>
      <c r="AH56" s="2"/>
      <c r="AK56" s="19"/>
      <c r="AM56" s="2"/>
      <c r="AZ56" s="3"/>
      <c r="BB56" s="2"/>
    </row>
    <row r="57" spans="1:54" ht="19.5" customHeight="1">
      <c r="A57" s="91"/>
      <c r="B57" s="92"/>
      <c r="C57" s="136"/>
      <c r="D57" s="92"/>
      <c r="E57" s="141">
        <f>IF(G56="-","MAX LOAD EXCEEDED PER FRONT TIRE","")</f>
      </c>
      <c r="F57" s="140"/>
      <c r="G57" s="140"/>
      <c r="H57" s="140"/>
      <c r="I57" s="141">
        <f>IF(H56="-","MAX LOAD EXCEEDED PER REAR TIRE","")</f>
      </c>
      <c r="J57" s="136"/>
      <c r="K57" s="136"/>
      <c r="L57" s="136"/>
      <c r="M57" s="136"/>
      <c r="N57" s="97"/>
      <c r="Z57" s="3"/>
      <c r="AA57" s="3"/>
      <c r="AG57" s="2"/>
      <c r="AH57" s="2"/>
      <c r="AK57" s="19"/>
      <c r="AM57" s="2"/>
      <c r="AZ57" s="3"/>
      <c r="BB57" s="2"/>
    </row>
    <row r="58" spans="1:54" ht="20.25" customHeight="1">
      <c r="A58" s="91"/>
      <c r="B58" s="92"/>
      <c r="C58" s="92"/>
      <c r="D58" s="92"/>
      <c r="E58" s="219">
        <f>IF(G56="See OM","Refer to your Tractor's Operator's Manual for proper Front Tire Inflation with Loader","")</f>
      </c>
      <c r="F58" s="140"/>
      <c r="G58" s="140"/>
      <c r="H58" s="140"/>
      <c r="I58" s="108"/>
      <c r="J58" s="136"/>
      <c r="K58" s="136"/>
      <c r="L58" s="136"/>
      <c r="M58" s="136"/>
      <c r="N58" s="97"/>
      <c r="Z58" s="3"/>
      <c r="AA58" s="3"/>
      <c r="AG58" s="2"/>
      <c r="AH58" s="2"/>
      <c r="AK58" s="19"/>
      <c r="AM58" s="2"/>
      <c r="AZ58" s="3"/>
      <c r="BB58" s="2"/>
    </row>
    <row r="59" spans="1:54" ht="14.25" customHeight="1" thickBot="1">
      <c r="A59" s="101"/>
      <c r="B59" s="102"/>
      <c r="C59" s="102"/>
      <c r="D59" s="102"/>
      <c r="E59" s="103"/>
      <c r="F59" s="103"/>
      <c r="G59" s="103"/>
      <c r="H59" s="103"/>
      <c r="I59" s="104"/>
      <c r="J59" s="105"/>
      <c r="K59" s="105"/>
      <c r="L59" s="105"/>
      <c r="M59" s="105"/>
      <c r="N59" s="99"/>
      <c r="Z59" s="3"/>
      <c r="AA59" s="3"/>
      <c r="AG59" s="2"/>
      <c r="AH59" s="2"/>
      <c r="AK59" s="19"/>
      <c r="AM59" s="2"/>
      <c r="AZ59" s="3"/>
      <c r="BB59" s="2"/>
    </row>
    <row r="60" spans="2:9" ht="18.75" customHeight="1">
      <c r="B60" s="1"/>
      <c r="C60" s="1"/>
      <c r="D60" s="1"/>
      <c r="E60" s="14"/>
      <c r="F60" s="14"/>
      <c r="G60" s="14"/>
      <c r="H60" s="14"/>
      <c r="I60" s="15"/>
    </row>
    <row r="61" spans="4:54" ht="18" customHeight="1">
      <c r="D61" s="50"/>
      <c r="E61" s="50"/>
      <c r="F61" s="50"/>
      <c r="G61" s="50"/>
      <c r="H61" s="50"/>
      <c r="I61" s="50"/>
      <c r="J61" s="50"/>
      <c r="V61" s="3"/>
      <c r="W61" s="3"/>
      <c r="X61" s="3"/>
      <c r="Y61" s="3"/>
      <c r="Z61" s="3"/>
      <c r="AA61" s="3"/>
      <c r="AC61" s="2"/>
      <c r="AD61" s="2"/>
      <c r="AE61" s="2"/>
      <c r="AF61" s="2"/>
      <c r="AG61" s="19"/>
      <c r="AH61" s="2"/>
      <c r="AM61" s="2"/>
      <c r="AV61" s="3"/>
      <c r="BB61" s="2"/>
    </row>
    <row r="62" spans="19:54" ht="16.5" customHeight="1" hidden="1">
      <c r="S62" s="3"/>
      <c r="T62" s="3"/>
      <c r="U62" s="3"/>
      <c r="V62" s="3"/>
      <c r="W62" s="3"/>
      <c r="X62" s="3"/>
      <c r="Y62" s="3"/>
      <c r="AB62" s="2"/>
      <c r="AC62" s="2"/>
      <c r="AD62" s="19"/>
      <c r="AE62" s="2"/>
      <c r="AF62" s="2"/>
      <c r="AG62" s="2"/>
      <c r="AH62" s="2"/>
      <c r="AM62" s="2"/>
      <c r="AS62" s="3"/>
      <c r="BB62" s="2"/>
    </row>
    <row r="63" spans="3:54" ht="16.5" customHeight="1" hidden="1">
      <c r="C63" s="41"/>
      <c r="D63" s="42" t="str">
        <f>IF(D28=4,"7930",IF(D28=3,"7830",IF(D28=2,"7730","7630")))</f>
        <v>7730</v>
      </c>
      <c r="E63" s="243" t="s">
        <v>103</v>
      </c>
      <c r="F63" s="243"/>
      <c r="G63" s="56">
        <v>1</v>
      </c>
      <c r="H63" s="56">
        <v>2</v>
      </c>
      <c r="I63" s="56">
        <v>3</v>
      </c>
      <c r="K63" s="31" t="str">
        <f>IF(D33=1,"CAST","STEEL")</f>
        <v>CAST</v>
      </c>
      <c r="T63" s="3"/>
      <c r="U63" s="3"/>
      <c r="V63" s="3"/>
      <c r="W63" s="3"/>
      <c r="X63" s="3"/>
      <c r="Y63" s="3"/>
      <c r="Z63" s="3"/>
      <c r="AB63" s="2"/>
      <c r="AC63" s="2"/>
      <c r="AD63" s="2"/>
      <c r="AE63" s="19"/>
      <c r="AF63" s="2"/>
      <c r="AG63" s="2"/>
      <c r="AH63" s="2"/>
      <c r="AM63" s="2"/>
      <c r="AT63" s="3"/>
      <c r="BB63" s="2"/>
    </row>
    <row r="64" spans="3:54" ht="25.5" hidden="1">
      <c r="C64" s="41"/>
      <c r="D64" s="41" t="s">
        <v>14</v>
      </c>
      <c r="E64" s="243"/>
      <c r="F64" s="243"/>
      <c r="G64" s="56" t="s">
        <v>65</v>
      </c>
      <c r="H64" s="56" t="s">
        <v>66</v>
      </c>
      <c r="I64" s="56" t="s">
        <v>109</v>
      </c>
      <c r="K64" s="164" t="str">
        <f>IF(D40=1,"Light",IF(D40=2,"Medium",IF(D40=3,"Heavy",IF(D40=4,"LOADER",""))))</f>
        <v>Heavy</v>
      </c>
      <c r="T64" s="3"/>
      <c r="U64" s="3"/>
      <c r="V64" s="3"/>
      <c r="W64" s="3"/>
      <c r="X64" s="3"/>
      <c r="Y64" s="3"/>
      <c r="Z64" s="3"/>
      <c r="AB64" s="2"/>
      <c r="AC64" s="2"/>
      <c r="AD64" s="2"/>
      <c r="AE64" s="19"/>
      <c r="AF64" s="2"/>
      <c r="AG64" s="2"/>
      <c r="AH64" s="2"/>
      <c r="AM64" s="2"/>
      <c r="AT64" s="3"/>
      <c r="BB64" s="2"/>
    </row>
    <row r="65" spans="3:54" ht="12.75" customHeight="1" hidden="1">
      <c r="C65" s="54"/>
      <c r="E65" s="31">
        <v>1</v>
      </c>
      <c r="F65" s="31" t="s">
        <v>1</v>
      </c>
      <c r="G65" s="89" t="str">
        <f>IF(D28=4,"N/A",IF(D28=3,"9266",IF(D28=2,"9264",IF(D28=1,"NONE","BAD"))))</f>
        <v>9264</v>
      </c>
      <c r="H65" s="89" t="str">
        <f>IF(D28=4,"N/A",IF(D28=3,"9401 &amp; 9228",IF(D28=2,"9266",IF(D28=1,"9264","BAD"))))</f>
        <v>9266</v>
      </c>
      <c r="I65" s="89" t="str">
        <f>IF(D28=4,"N/A",IF(D28=3,"9408, 9228 &amp; 9021",IF(D28=2,"9401, 9228 &amp; 9021",IF(D28=1,"9228","BAD"))))</f>
        <v>9401, 9228 &amp; 9021</v>
      </c>
      <c r="K65" s="90" t="str">
        <f>IF(D33=2,HLOOKUP(D40,G71:I76,3,FALSE),HLOOKUP(D40,G63:I68,3,"False"))</f>
        <v>9401, 9228 &amp; 9021</v>
      </c>
      <c r="T65" s="3"/>
      <c r="U65" s="3"/>
      <c r="V65" s="3"/>
      <c r="W65" s="3"/>
      <c r="X65" s="3"/>
      <c r="Y65" s="3"/>
      <c r="Z65" s="3"/>
      <c r="AB65" s="2"/>
      <c r="AC65" s="2"/>
      <c r="AD65" s="2"/>
      <c r="AE65" s="19"/>
      <c r="AF65" s="2"/>
      <c r="AG65" s="2"/>
      <c r="AH65" s="2"/>
      <c r="AM65" s="2"/>
      <c r="AT65" s="3"/>
      <c r="BB65" s="2"/>
    </row>
    <row r="66" spans="5:73" ht="12.75" customHeight="1" hidden="1">
      <c r="E66" s="31">
        <v>2</v>
      </c>
      <c r="F66" s="31">
        <v>1100</v>
      </c>
      <c r="G66" s="89" t="str">
        <f>IF(D28=4,"N/A",IF(D28=3,"N/A",IF(D28=2,"NONE",IF(D28=1,"NONE","BAD"))))</f>
        <v>NONE</v>
      </c>
      <c r="H66" s="89" t="str">
        <f>IF(D28=4,"N/A",IF(D28=3,"N/A",IF(D28=2,"NONE",IF(D28=1,"NONE","BAD"))))</f>
        <v>NONE</v>
      </c>
      <c r="I66" s="89" t="str">
        <f>IF(D28=4,"N/A",IF(D28=3,"N/A",IF(D28=2,"9404 &amp; 9264",IF(D28=1,"9401","BAD"))))</f>
        <v>9404 &amp; 9264</v>
      </c>
      <c r="K66" s="90" t="str">
        <f>IF(D33=2,HLOOKUP(D40,G71:I76,4,FALSE),HLOOKUP(D40,G63:I68,4,"False"))</f>
        <v>9404 &amp; 9264</v>
      </c>
      <c r="T66" s="3"/>
      <c r="U66" s="3"/>
      <c r="V66" s="3"/>
      <c r="W66" s="3"/>
      <c r="X66" s="3"/>
      <c r="Y66" s="3"/>
      <c r="Z66" s="3"/>
      <c r="AB66" s="2"/>
      <c r="AC66" s="2"/>
      <c r="AD66" s="2"/>
      <c r="AE66" s="19"/>
      <c r="AF66" s="2"/>
      <c r="AG66" s="2"/>
      <c r="AH66" s="2"/>
      <c r="AL66" s="4"/>
      <c r="AM66" s="4"/>
      <c r="AN66" s="4"/>
      <c r="AO66" s="4"/>
      <c r="AP66" s="4"/>
      <c r="AQ66" s="4"/>
      <c r="AR66" s="4"/>
      <c r="AS66" s="4"/>
      <c r="AT66" s="6"/>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row>
    <row r="67" spans="5:73" ht="12.75" hidden="1">
      <c r="E67" s="31">
        <v>3</v>
      </c>
      <c r="F67" s="31">
        <v>1150</v>
      </c>
      <c r="G67" s="89" t="str">
        <f>IF(D28=4,"9404 &amp; 9264",IF(D28=3,"NONE",IF(D28=2,"NONE",IF(D28=1,"NONE","BAD"))))</f>
        <v>NONE</v>
      </c>
      <c r="H67" s="89" t="str">
        <f>IF(D28=4,"9408 &amp; 9283",IF(D28=3,"9404 &amp; 9264",IF(D28=2,"NONE",IF(D28=1,"NONE","BAD"))))</f>
        <v>NONE</v>
      </c>
      <c r="I67" s="89" t="str">
        <f>IF(D28=4,"9416, 9228 &amp; 9021",IF(D28=3,"9408, 9290 &amp; 9021",IF(D28=2,"9404 &amp; 9290",IF(D28=1,"NONE","BAD"))))</f>
        <v>9404 &amp; 9290</v>
      </c>
      <c r="K67" s="90" t="str">
        <f>IF(D33=2,HLOOKUP(D40,G71:I76,5,FALSE),HLOOKUP(D40,G63:I68,5,"False"))</f>
        <v>9404 &amp; 9290</v>
      </c>
      <c r="T67" s="3"/>
      <c r="U67" s="3"/>
      <c r="V67" s="3"/>
      <c r="W67" s="3"/>
      <c r="X67" s="3"/>
      <c r="Y67" s="3"/>
      <c r="Z67" s="3"/>
      <c r="AB67" s="2"/>
      <c r="AC67" s="2"/>
      <c r="AD67" s="2"/>
      <c r="AE67" s="19"/>
      <c r="AF67" s="2"/>
      <c r="AG67" s="2"/>
      <c r="AH67" s="2"/>
      <c r="AL67" s="4"/>
      <c r="AM67" s="4"/>
      <c r="AN67" s="4"/>
      <c r="AO67" s="4"/>
      <c r="AP67" s="4"/>
      <c r="AQ67" s="4"/>
      <c r="AR67" s="4"/>
      <c r="AS67" s="4"/>
      <c r="AT67" s="6"/>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row>
    <row r="68" spans="5:73" ht="12.75" hidden="1">
      <c r="E68" s="53">
        <v>4</v>
      </c>
      <c r="F68" s="31" t="s">
        <v>76</v>
      </c>
      <c r="G68" s="89" t="str">
        <f>IF(D28=4,"NONE",IF(D28=3,"NONE",IF(D28=2,"NONE",IF(D28=1,"NONE","BAD"))))</f>
        <v>NONE</v>
      </c>
      <c r="H68" s="89" t="str">
        <f>IF(D28=4,"9404 &amp; 9266",IF(D28=3,"NONE",IF(D28=2,"NONE",IF(D28=1,"NONE","BAD"))))</f>
        <v>NONE</v>
      </c>
      <c r="I68" s="89" t="str">
        <f>IF(D28=4,"9412, 9228 &amp; 9021",IF(D28=3,"9404, 9290 &amp; 9021",IF(D28=2,"9401 &amp; 9264",IF(D28=1,"NONE","BAD"))))</f>
        <v>9401 &amp; 9264</v>
      </c>
      <c r="K68" s="90" t="str">
        <f>IF(D33=2,HLOOKUP(D40,G71:I76,6,FALSE),HLOOKUP(D40,G63:I68,6,"False"))</f>
        <v>9401 &amp; 9264</v>
      </c>
      <c r="T68" s="3"/>
      <c r="U68" s="3"/>
      <c r="V68" s="3"/>
      <c r="W68" s="3"/>
      <c r="X68" s="3"/>
      <c r="Y68" s="3"/>
      <c r="Z68" s="3"/>
      <c r="AB68" s="2"/>
      <c r="AC68" s="2"/>
      <c r="AD68" s="2"/>
      <c r="AE68" s="19"/>
      <c r="AF68" s="2"/>
      <c r="AG68" s="2"/>
      <c r="AH68" s="2"/>
      <c r="AL68" s="4"/>
      <c r="AM68" s="4"/>
      <c r="AN68" s="4"/>
      <c r="AO68" s="4"/>
      <c r="AP68" s="4"/>
      <c r="AQ68" s="4"/>
      <c r="AR68" s="4"/>
      <c r="AS68" s="4"/>
      <c r="AT68" s="6"/>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row>
    <row r="69" spans="6:73" ht="12.75" hidden="1">
      <c r="F69" s="6"/>
      <c r="G69" s="6"/>
      <c r="H69" s="6"/>
      <c r="I69" s="6"/>
      <c r="J69" s="6"/>
      <c r="T69" s="3"/>
      <c r="U69" s="3"/>
      <c r="V69" s="3"/>
      <c r="W69" s="3"/>
      <c r="X69" s="3"/>
      <c r="Y69" s="3"/>
      <c r="Z69" s="3"/>
      <c r="AB69" s="2"/>
      <c r="AC69" s="2"/>
      <c r="AD69" s="2"/>
      <c r="AE69" s="19"/>
      <c r="AF69" s="2"/>
      <c r="AG69" s="2"/>
      <c r="AH69" s="2"/>
      <c r="AL69" s="4"/>
      <c r="AM69" s="4"/>
      <c r="AN69" s="4"/>
      <c r="AO69" s="4"/>
      <c r="AP69" s="4"/>
      <c r="AQ69" s="4"/>
      <c r="AR69" s="4"/>
      <c r="AS69" s="4"/>
      <c r="AT69" s="6"/>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row>
    <row r="70" spans="20:56" ht="12.75" hidden="1">
      <c r="T70" s="4"/>
      <c r="U70" s="6"/>
      <c r="V70" s="6"/>
      <c r="W70" s="6"/>
      <c r="X70" s="6"/>
      <c r="Y70" s="10"/>
      <c r="Z70" s="11"/>
      <c r="AA70" s="6"/>
      <c r="AB70" s="21"/>
      <c r="AC70" s="6"/>
      <c r="AD70" s="6"/>
      <c r="AE70" s="6"/>
      <c r="AF70" s="21"/>
      <c r="AG70" s="2"/>
      <c r="AH70" s="2"/>
      <c r="AM70" s="2"/>
      <c r="AO70" s="19"/>
      <c r="BB70" s="2"/>
      <c r="BD70" s="3"/>
    </row>
    <row r="71" spans="5:56" ht="12.75" hidden="1">
      <c r="E71" s="243" t="s">
        <v>102</v>
      </c>
      <c r="F71" s="243"/>
      <c r="G71" s="56">
        <v>1</v>
      </c>
      <c r="H71" s="56">
        <v>2</v>
      </c>
      <c r="I71" s="56">
        <v>3</v>
      </c>
      <c r="T71" s="4"/>
      <c r="U71" s="6"/>
      <c r="V71" s="6"/>
      <c r="W71" s="6"/>
      <c r="X71" s="6"/>
      <c r="Y71" s="10"/>
      <c r="Z71" s="11"/>
      <c r="AA71" s="6"/>
      <c r="AB71" s="21"/>
      <c r="AC71" s="6"/>
      <c r="AD71" s="6"/>
      <c r="AE71" s="6"/>
      <c r="AF71" s="21"/>
      <c r="AG71" s="2"/>
      <c r="AH71" s="2"/>
      <c r="AM71" s="2"/>
      <c r="AO71" s="19"/>
      <c r="BB71" s="2"/>
      <c r="BD71" s="3"/>
    </row>
    <row r="72" spans="5:55" ht="25.5" hidden="1">
      <c r="E72" s="243"/>
      <c r="F72" s="243"/>
      <c r="G72" s="56" t="s">
        <v>65</v>
      </c>
      <c r="H72" s="56" t="s">
        <v>66</v>
      </c>
      <c r="I72" s="56" t="s">
        <v>109</v>
      </c>
      <c r="S72" s="4"/>
      <c r="T72" s="6"/>
      <c r="U72" s="6"/>
      <c r="V72" s="6"/>
      <c r="W72" s="6"/>
      <c r="X72" s="10"/>
      <c r="Y72" s="11"/>
      <c r="Z72" s="6"/>
      <c r="AA72" s="21"/>
      <c r="AB72" s="6"/>
      <c r="AC72" s="6"/>
      <c r="AD72" s="6"/>
      <c r="AE72" s="21"/>
      <c r="AF72" s="2"/>
      <c r="AG72" s="2"/>
      <c r="AH72" s="2"/>
      <c r="AM72" s="2"/>
      <c r="AN72" s="19"/>
      <c r="BB72" s="2"/>
      <c r="BC72" s="3"/>
    </row>
    <row r="73" spans="5:55" ht="12.75" hidden="1">
      <c r="E73" s="31">
        <v>1</v>
      </c>
      <c r="F73" s="31" t="s">
        <v>1</v>
      </c>
      <c r="G73" s="89" t="str">
        <f>IF(D28=4,"N/A",IF(D28=3,"9278",IF(D28=2,"NONE",IF(D28=1,"NONE","BAD"))))</f>
        <v>NONE</v>
      </c>
      <c r="H73" s="89" t="str">
        <f>IF(D28=4,"N/A",IF(D28=3,"9401, 9278 &amp; 9021",IF(D28=2,"9278",IF(D28=1,"NONE","BAD"))))</f>
        <v>9278</v>
      </c>
      <c r="I73" s="89" t="str">
        <f>IF(D28=4,"N/A",IF(D28=3,"9408, 9278 &amp; 9283",IF(D28=2,"9401, 9278 &amp; 9289",IF(D28=1,"9228","BAD"))))</f>
        <v>9401, 9278 &amp; 9289</v>
      </c>
      <c r="S73" s="4"/>
      <c r="T73" s="6"/>
      <c r="U73" s="6"/>
      <c r="V73" s="6"/>
      <c r="W73" s="6"/>
      <c r="X73" s="10"/>
      <c r="Y73" s="11"/>
      <c r="Z73" s="6"/>
      <c r="AA73" s="21"/>
      <c r="AB73" s="6"/>
      <c r="AC73" s="6"/>
      <c r="AD73" s="6"/>
      <c r="AE73" s="21"/>
      <c r="AF73" s="2"/>
      <c r="AG73" s="2"/>
      <c r="AH73" s="2"/>
      <c r="AM73" s="2"/>
      <c r="AN73" s="19"/>
      <c r="BB73" s="2"/>
      <c r="BC73" s="3"/>
    </row>
    <row r="74" spans="5:55" ht="12.75" hidden="1">
      <c r="E74" s="31">
        <v>2</v>
      </c>
      <c r="F74" s="31">
        <v>1100</v>
      </c>
      <c r="G74" s="89" t="str">
        <f>IF(D28=4,"N/A",IF(D28=3,"N/A",IF(D28=2,"NONE",IF(D28=1,"NONE","BAD"))))</f>
        <v>NONE</v>
      </c>
      <c r="H74" s="89" t="str">
        <f>IF(D28=4,"N/A",IF(D28=3,"N/A",IF(D28=2,"NONE",IF(D28=1,"NONE","BAD"))))</f>
        <v>NONE</v>
      </c>
      <c r="I74" s="89" t="str">
        <f>IF(D28=4,"N/A",IF(D28=3,"N/A",IF(D28=2,"9404 &amp; 9295",IF(D28=1,"9401","BAD"))))</f>
        <v>9404 &amp; 9295</v>
      </c>
      <c r="S74" s="4"/>
      <c r="T74" s="6"/>
      <c r="U74" s="6"/>
      <c r="V74" s="6"/>
      <c r="W74" s="6"/>
      <c r="X74" s="10"/>
      <c r="Y74" s="11"/>
      <c r="Z74" s="6"/>
      <c r="AA74" s="21"/>
      <c r="AB74" s="6"/>
      <c r="AC74" s="6"/>
      <c r="AD74" s="6"/>
      <c r="AE74" s="21"/>
      <c r="AF74" s="2"/>
      <c r="AG74" s="2"/>
      <c r="AH74" s="2"/>
      <c r="AM74" s="2"/>
      <c r="AN74" s="19"/>
      <c r="BB74" s="2"/>
      <c r="BC74" s="3"/>
    </row>
    <row r="75" spans="5:55" ht="12.75" hidden="1">
      <c r="E75" s="31">
        <v>3</v>
      </c>
      <c r="F75" s="31">
        <v>1150</v>
      </c>
      <c r="G75" s="89" t="str">
        <f>IF(D28=4,"9404 &amp; 9295",IF(D28=3,"NONE",IF(D28=2,"NONE",IF(D28=1,"NONE","BAD"))))</f>
        <v>NONE</v>
      </c>
      <c r="H75" s="89" t="str">
        <f>IF(D28=4,"9408 &amp; 9278",IF(D28=3,"9404 &amp; 9295",IF(D28=2,"NONE",IF(D28=1,"NONE","BAD"))))</f>
        <v>NONE</v>
      </c>
      <c r="I75" s="89" t="str">
        <f>IF(D28=4,"9416, 9278 &amp; 9283",IF(D28=3,"9408, 9295 &amp; 9021",IF(D28=2,"9404 &amp; 9295",IF(D28=1,"NONE","BAD"))))</f>
        <v>9404 &amp; 9295</v>
      </c>
      <c r="S75" s="4"/>
      <c r="T75" s="6"/>
      <c r="U75" s="6"/>
      <c r="V75" s="6"/>
      <c r="W75" s="6"/>
      <c r="X75" s="12"/>
      <c r="Y75" s="11"/>
      <c r="Z75" s="6"/>
      <c r="AA75" s="21"/>
      <c r="AB75" s="6"/>
      <c r="AC75" s="6"/>
      <c r="AD75" s="6"/>
      <c r="AE75" s="21"/>
      <c r="AF75" s="2"/>
      <c r="AG75" s="2"/>
      <c r="AH75" s="2"/>
      <c r="AM75" s="2"/>
      <c r="AN75" s="19"/>
      <c r="BB75" s="2"/>
      <c r="BC75" s="3"/>
    </row>
    <row r="76" spans="5:55" ht="12.75" hidden="1">
      <c r="E76" s="53">
        <v>4</v>
      </c>
      <c r="F76" s="31" t="s">
        <v>76</v>
      </c>
      <c r="G76" s="89" t="str">
        <f>IF(D28=4,"NONE",IF(D28=3,"NONE",IF(D28=2,"NONE",IF(D28=1,"NONE","BAD"))))</f>
        <v>NONE</v>
      </c>
      <c r="H76" s="89" t="str">
        <f>IF(D28=4,"9404 &amp; 9278",IF(D28=3,"NONE",IF(D28=2,"NONE",IF(D28=1,"NONE","BAD"))))</f>
        <v>NONE</v>
      </c>
      <c r="I76" s="89" t="str">
        <f>IF(D28=4,"9412, 9278 &amp; 9283",IF(D28=3,"9404, 9295 &amp; 9021",IF(D28=2,"9401 &amp; 9295",IF(D28=1,"NONE","BAD"))))</f>
        <v>9401 &amp; 9295</v>
      </c>
      <c r="S76" s="4"/>
      <c r="T76" s="6"/>
      <c r="U76" s="6"/>
      <c r="V76" s="6"/>
      <c r="W76" s="6"/>
      <c r="X76" s="10"/>
      <c r="Y76" s="11"/>
      <c r="Z76" s="6"/>
      <c r="AA76" s="21"/>
      <c r="AB76" s="6"/>
      <c r="AC76" s="6"/>
      <c r="AD76" s="6"/>
      <c r="AE76" s="21"/>
      <c r="AF76" s="2"/>
      <c r="AG76" s="2"/>
      <c r="AH76" s="2"/>
      <c r="AM76" s="2"/>
      <c r="AN76" s="19"/>
      <c r="BB76" s="2"/>
      <c r="BC76" s="3"/>
    </row>
    <row r="77" spans="18:34" ht="12.75" hidden="1">
      <c r="R77" s="13"/>
      <c r="S77" s="7"/>
      <c r="T77" s="7"/>
      <c r="U77" s="7"/>
      <c r="V77" s="7"/>
      <c r="W77" s="10"/>
      <c r="X77" s="11"/>
      <c r="Y77" s="6"/>
      <c r="Z77" s="21"/>
      <c r="AA77" s="6"/>
      <c r="AB77" s="6"/>
      <c r="AC77" s="6"/>
      <c r="AD77" s="21"/>
      <c r="AE77" s="2"/>
      <c r="AF77" s="2"/>
      <c r="AG77" s="2"/>
      <c r="AH77" s="2"/>
    </row>
    <row r="78" spans="18:34" ht="12.75">
      <c r="R78" s="20"/>
      <c r="S78" s="6"/>
      <c r="T78" s="6"/>
      <c r="U78" s="6"/>
      <c r="V78" s="22"/>
      <c r="W78" s="7"/>
      <c r="X78" s="22"/>
      <c r="Y78" s="6"/>
      <c r="Z78" s="21"/>
      <c r="AA78" s="6"/>
      <c r="AB78" s="6"/>
      <c r="AC78" s="6"/>
      <c r="AD78" s="21"/>
      <c r="AE78" s="2"/>
      <c r="AF78" s="2"/>
      <c r="AG78" s="2"/>
      <c r="AH78" s="2"/>
    </row>
    <row r="79" spans="18:34" ht="12.75">
      <c r="R79" s="6"/>
      <c r="S79" s="6"/>
      <c r="T79" s="6"/>
      <c r="U79" s="6"/>
      <c r="V79" s="22"/>
      <c r="W79" s="6"/>
      <c r="X79" s="22"/>
      <c r="Y79" s="6"/>
      <c r="Z79" s="23"/>
      <c r="AA79" s="6"/>
      <c r="AB79" s="6"/>
      <c r="AC79" s="6"/>
      <c r="AD79" s="21"/>
      <c r="AE79" s="2"/>
      <c r="AF79" s="2"/>
      <c r="AG79" s="2"/>
      <c r="AH79" s="2"/>
    </row>
    <row r="80" spans="18:34" ht="12.75">
      <c r="R80" s="6"/>
      <c r="S80" s="6"/>
      <c r="T80" s="6"/>
      <c r="U80" s="6"/>
      <c r="V80" s="22"/>
      <c r="W80" s="6"/>
      <c r="X80" s="22"/>
      <c r="Y80" s="6"/>
      <c r="Z80" s="23"/>
      <c r="AA80" s="6"/>
      <c r="AB80" s="6"/>
      <c r="AC80" s="6"/>
      <c r="AD80" s="21"/>
      <c r="AE80" s="2"/>
      <c r="AF80" s="2"/>
      <c r="AG80" s="2"/>
      <c r="AH80" s="2"/>
    </row>
    <row r="81" spans="18:34" ht="12.75">
      <c r="R81" s="6"/>
      <c r="S81" s="6"/>
      <c r="T81" s="6"/>
      <c r="U81" s="6"/>
      <c r="V81" s="22"/>
      <c r="W81" s="6"/>
      <c r="X81" s="22"/>
      <c r="Y81" s="6"/>
      <c r="Z81" s="23"/>
      <c r="AA81" s="6"/>
      <c r="AB81" s="6"/>
      <c r="AC81" s="6"/>
      <c r="AD81" s="21"/>
      <c r="AE81" s="2"/>
      <c r="AF81" s="2"/>
      <c r="AG81" s="2"/>
      <c r="AH81" s="2"/>
    </row>
    <row r="82" spans="18:34" ht="12.75">
      <c r="R82" s="6"/>
      <c r="S82" s="6"/>
      <c r="T82" s="6"/>
      <c r="U82" s="6"/>
      <c r="V82" s="22"/>
      <c r="W82" s="6"/>
      <c r="X82" s="22"/>
      <c r="Y82" s="6"/>
      <c r="Z82" s="23"/>
      <c r="AA82" s="6"/>
      <c r="AB82" s="6"/>
      <c r="AC82" s="6"/>
      <c r="AD82" s="21"/>
      <c r="AE82" s="2"/>
      <c r="AF82" s="2"/>
      <c r="AG82" s="2"/>
      <c r="AH82" s="2"/>
    </row>
    <row r="83" spans="18:36" ht="12.75">
      <c r="R83" s="6"/>
      <c r="S83" s="6"/>
      <c r="T83" s="6"/>
      <c r="U83" s="6"/>
      <c r="V83" s="22"/>
      <c r="W83" s="6"/>
      <c r="X83" s="22"/>
      <c r="Y83" s="6"/>
      <c r="Z83" s="23"/>
      <c r="AA83" s="6"/>
      <c r="AB83" s="6"/>
      <c r="AC83" s="6"/>
      <c r="AD83" s="21"/>
      <c r="AE83" s="4"/>
      <c r="AF83" s="4"/>
      <c r="AG83" s="4"/>
      <c r="AH83" s="4"/>
      <c r="AI83" s="4"/>
      <c r="AJ83" s="4"/>
    </row>
    <row r="84" spans="18:36" ht="12.75">
      <c r="R84" s="6"/>
      <c r="S84" s="6"/>
      <c r="T84" s="6"/>
      <c r="U84" s="6"/>
      <c r="V84" s="22"/>
      <c r="W84" s="6"/>
      <c r="X84" s="22"/>
      <c r="Y84" s="6"/>
      <c r="Z84" s="23"/>
      <c r="AA84" s="6"/>
      <c r="AB84" s="6"/>
      <c r="AC84" s="6"/>
      <c r="AD84" s="21"/>
      <c r="AE84" s="4"/>
      <c r="AF84" s="4"/>
      <c r="AG84" s="4"/>
      <c r="AH84" s="4"/>
      <c r="AI84" s="4"/>
      <c r="AJ84" s="4"/>
    </row>
    <row r="85" spans="18:36" ht="12.75">
      <c r="R85" s="24"/>
      <c r="S85" s="24"/>
      <c r="T85" s="24"/>
      <c r="U85" s="24"/>
      <c r="V85" s="25"/>
      <c r="W85" s="16"/>
      <c r="X85" s="25"/>
      <c r="Y85" s="16"/>
      <c r="Z85" s="26"/>
      <c r="AA85" s="16"/>
      <c r="AB85" s="16"/>
      <c r="AC85" s="16"/>
      <c r="AD85" s="27"/>
      <c r="AE85" s="17"/>
      <c r="AF85" s="17"/>
      <c r="AG85" s="17"/>
      <c r="AH85" s="17"/>
      <c r="AI85" s="17"/>
      <c r="AJ85" s="17"/>
    </row>
    <row r="86" spans="18:36" ht="12.75">
      <c r="R86" s="6"/>
      <c r="S86" s="6"/>
      <c r="T86" s="6"/>
      <c r="U86" s="6"/>
      <c r="V86" s="6" t="s">
        <v>0</v>
      </c>
      <c r="W86" s="6" t="s">
        <v>0</v>
      </c>
      <c r="X86" s="6" t="s">
        <v>0</v>
      </c>
      <c r="Y86" s="6"/>
      <c r="Z86" s="6"/>
      <c r="AA86" s="6"/>
      <c r="AB86" s="6"/>
      <c r="AC86" s="6"/>
      <c r="AD86" s="21"/>
      <c r="AE86" s="4"/>
      <c r="AF86" s="4"/>
      <c r="AG86" s="4"/>
      <c r="AH86" s="4"/>
      <c r="AI86" s="4"/>
      <c r="AJ86" s="4"/>
    </row>
    <row r="87" spans="18:36" ht="12.75">
      <c r="R87" s="6"/>
      <c r="S87" s="6"/>
      <c r="T87" s="6"/>
      <c r="U87" s="6"/>
      <c r="V87" s="6"/>
      <c r="W87" s="6"/>
      <c r="X87" s="6"/>
      <c r="Y87" s="6"/>
      <c r="Z87" s="4"/>
      <c r="AA87" s="4"/>
      <c r="AB87" s="4"/>
      <c r="AC87" s="4"/>
      <c r="AD87" s="23"/>
      <c r="AE87" s="4"/>
      <c r="AF87" s="4"/>
      <c r="AG87" s="4"/>
      <c r="AH87" s="4"/>
      <c r="AI87" s="4"/>
      <c r="AJ87" s="4"/>
    </row>
    <row r="88" spans="18:36" ht="12.75">
      <c r="R88" s="6"/>
      <c r="S88" s="6"/>
      <c r="T88" s="6"/>
      <c r="U88" s="6"/>
      <c r="V88" s="6"/>
      <c r="W88" s="6"/>
      <c r="X88" s="6"/>
      <c r="Y88" s="6"/>
      <c r="Z88" s="4"/>
      <c r="AA88" s="4"/>
      <c r="AB88" s="4"/>
      <c r="AC88" s="4"/>
      <c r="AD88" s="23"/>
      <c r="AE88" s="4"/>
      <c r="AF88" s="4"/>
      <c r="AG88" s="4"/>
      <c r="AH88" s="4"/>
      <c r="AI88" s="4"/>
      <c r="AJ88" s="4"/>
    </row>
    <row r="89" spans="18:34" ht="12.75">
      <c r="R89" s="3"/>
      <c r="S89" s="3"/>
      <c r="T89" s="3"/>
      <c r="U89" s="3"/>
      <c r="V89" s="3"/>
      <c r="W89" s="3"/>
      <c r="X89" s="3"/>
      <c r="Y89" s="3"/>
      <c r="AB89" s="2"/>
      <c r="AC89" s="2"/>
      <c r="AD89" s="19"/>
      <c r="AE89" s="2"/>
      <c r="AF89" s="2"/>
      <c r="AG89" s="2"/>
      <c r="AH89" s="2"/>
    </row>
    <row r="90" spans="19:34" ht="12.75">
      <c r="S90" s="3"/>
      <c r="T90" s="3"/>
      <c r="U90" s="3"/>
      <c r="V90" s="3"/>
      <c r="W90" s="3"/>
      <c r="X90" s="3"/>
      <c r="Y90" s="3"/>
      <c r="Z90" s="3"/>
      <c r="AA90" s="3"/>
      <c r="AD90" s="19"/>
      <c r="AE90" s="2"/>
      <c r="AF90" s="2"/>
      <c r="AG90" s="2"/>
      <c r="AH90" s="2"/>
    </row>
    <row r="91" spans="19:34" ht="12.75">
      <c r="S91" s="3"/>
      <c r="T91" s="3"/>
      <c r="U91" s="3"/>
      <c r="V91" s="3"/>
      <c r="W91" s="3"/>
      <c r="X91" s="3"/>
      <c r="Y91" s="3"/>
      <c r="AB91" s="2"/>
      <c r="AC91" s="2"/>
      <c r="AD91" s="19"/>
      <c r="AE91" s="2"/>
      <c r="AF91" s="2"/>
      <c r="AG91" s="2"/>
      <c r="AH91" s="2"/>
    </row>
    <row r="92" spans="19:34" ht="12.75">
      <c r="S92" s="3"/>
      <c r="T92" s="3"/>
      <c r="U92" s="3"/>
      <c r="V92" s="3"/>
      <c r="W92" s="3"/>
      <c r="X92" s="3"/>
      <c r="Y92" s="3"/>
      <c r="AB92" s="2"/>
      <c r="AC92" s="2"/>
      <c r="AD92" s="19"/>
      <c r="AE92" s="2"/>
      <c r="AF92" s="2"/>
      <c r="AG92" s="2"/>
      <c r="AH92" s="2"/>
    </row>
    <row r="93" spans="19:34" ht="12.75">
      <c r="S93" s="3"/>
      <c r="T93" s="3"/>
      <c r="U93" s="3"/>
      <c r="V93" s="3"/>
      <c r="W93" s="3"/>
      <c r="X93" s="3"/>
      <c r="Y93" s="3"/>
      <c r="AB93" s="2"/>
      <c r="AC93" s="2"/>
      <c r="AD93" s="19"/>
      <c r="AE93" s="2"/>
      <c r="AF93" s="2"/>
      <c r="AG93" s="2"/>
      <c r="AH93" s="2"/>
    </row>
    <row r="94" spans="19:34" ht="12.75">
      <c r="S94" s="3"/>
      <c r="T94" s="3"/>
      <c r="U94" s="3"/>
      <c r="V94" s="3"/>
      <c r="W94" s="3"/>
      <c r="X94" s="3"/>
      <c r="Y94" s="3"/>
      <c r="AB94" s="2"/>
      <c r="AC94" s="2"/>
      <c r="AD94" s="19"/>
      <c r="AE94" s="2"/>
      <c r="AF94" s="2"/>
      <c r="AG94" s="2"/>
      <c r="AH94" s="2"/>
    </row>
    <row r="95" spans="19:34" ht="12.75">
      <c r="S95" s="3"/>
      <c r="T95" s="3"/>
      <c r="U95" s="3"/>
      <c r="V95" s="3"/>
      <c r="W95" s="3"/>
      <c r="X95" s="3"/>
      <c r="Y95" s="3"/>
      <c r="AB95" s="2"/>
      <c r="AC95" s="2"/>
      <c r="AD95" s="19"/>
      <c r="AE95" s="2"/>
      <c r="AF95" s="2"/>
      <c r="AG95" s="2"/>
      <c r="AH95" s="2"/>
    </row>
    <row r="96" spans="19:34" ht="12.75">
      <c r="S96" s="3"/>
      <c r="T96" s="3"/>
      <c r="U96" s="3"/>
      <c r="V96" s="3"/>
      <c r="W96" s="3"/>
      <c r="X96" s="3"/>
      <c r="Y96" s="3"/>
      <c r="AB96" s="2"/>
      <c r="AC96" s="2"/>
      <c r="AD96" s="19"/>
      <c r="AE96" s="2"/>
      <c r="AF96" s="2"/>
      <c r="AG96" s="2"/>
      <c r="AH96" s="2"/>
    </row>
    <row r="97" spans="19:34" ht="12.75">
      <c r="S97" s="3"/>
      <c r="T97" s="3"/>
      <c r="U97" s="3"/>
      <c r="V97" s="3"/>
      <c r="W97" s="3"/>
      <c r="X97" s="3"/>
      <c r="Y97" s="3"/>
      <c r="AB97" s="2"/>
      <c r="AC97" s="2"/>
      <c r="AD97" s="19"/>
      <c r="AE97" s="2"/>
      <c r="AF97" s="2"/>
      <c r="AG97" s="2"/>
      <c r="AH97" s="2"/>
    </row>
    <row r="98" spans="19:34" ht="12.75">
      <c r="S98" s="3"/>
      <c r="T98" s="3"/>
      <c r="U98" s="3"/>
      <c r="V98" s="3"/>
      <c r="W98" s="3"/>
      <c r="X98" s="3"/>
      <c r="Y98" s="3"/>
      <c r="AB98" s="2"/>
      <c r="AC98" s="2"/>
      <c r="AD98" s="19"/>
      <c r="AE98" s="2"/>
      <c r="AF98" s="2"/>
      <c r="AG98" s="2"/>
      <c r="AH98" s="2"/>
    </row>
    <row r="99" spans="19:34" ht="12.75">
      <c r="S99" s="3"/>
      <c r="T99" s="3"/>
      <c r="U99" s="3"/>
      <c r="V99" s="3"/>
      <c r="W99" s="3"/>
      <c r="X99" s="3"/>
      <c r="Y99" s="3"/>
      <c r="AB99" s="2"/>
      <c r="AC99" s="2"/>
      <c r="AD99" s="19"/>
      <c r="AE99" s="2"/>
      <c r="AF99" s="2"/>
      <c r="AG99" s="2"/>
      <c r="AH99" s="2"/>
    </row>
    <row r="100" spans="19:34" ht="12.75">
      <c r="S100" s="3"/>
      <c r="T100" s="3"/>
      <c r="U100" s="3"/>
      <c r="V100" s="3"/>
      <c r="W100" s="3"/>
      <c r="X100" s="3"/>
      <c r="Y100" s="3"/>
      <c r="AB100" s="2"/>
      <c r="AC100" s="2"/>
      <c r="AD100" s="19"/>
      <c r="AE100" s="2"/>
      <c r="AF100" s="2"/>
      <c r="AG100" s="2"/>
      <c r="AH100" s="2"/>
    </row>
    <row r="101" spans="19:34" ht="12.75">
      <c r="S101" s="3"/>
      <c r="T101" s="3"/>
      <c r="U101" s="3"/>
      <c r="V101" s="3"/>
      <c r="W101" s="3"/>
      <c r="X101" s="3"/>
      <c r="Y101" s="3"/>
      <c r="AB101" s="2"/>
      <c r="AC101" s="2"/>
      <c r="AD101" s="19"/>
      <c r="AE101" s="2"/>
      <c r="AF101" s="2"/>
      <c r="AG101" s="2"/>
      <c r="AH101" s="2"/>
    </row>
    <row r="102" spans="2:34" ht="12.75">
      <c r="B102" s="1"/>
      <c r="L102" s="4"/>
      <c r="M102" s="6"/>
      <c r="N102" s="6"/>
      <c r="S102" s="3"/>
      <c r="T102" s="3"/>
      <c r="U102" s="3"/>
      <c r="V102" s="3"/>
      <c r="W102" s="3"/>
      <c r="X102" s="3"/>
      <c r="Y102" s="3"/>
      <c r="AB102" s="2"/>
      <c r="AC102" s="2"/>
      <c r="AD102" s="19"/>
      <c r="AE102" s="2"/>
      <c r="AF102" s="2"/>
      <c r="AG102" s="2"/>
      <c r="AH102" s="2"/>
    </row>
    <row r="103" spans="2:34" ht="12.75">
      <c r="B103" s="1"/>
      <c r="L103" s="8"/>
      <c r="S103" s="3"/>
      <c r="T103" s="3"/>
      <c r="U103" s="3"/>
      <c r="V103" s="3"/>
      <c r="W103" s="3"/>
      <c r="X103" s="3"/>
      <c r="Y103" s="3"/>
      <c r="AB103" s="2"/>
      <c r="AC103" s="2"/>
      <c r="AD103" s="19"/>
      <c r="AE103" s="2"/>
      <c r="AF103" s="2"/>
      <c r="AG103" s="2"/>
      <c r="AH103" s="2"/>
    </row>
    <row r="104" spans="2:34" ht="12.75">
      <c r="B104" s="1"/>
      <c r="I104" s="9"/>
      <c r="J104" s="9"/>
      <c r="L104" s="6"/>
      <c r="S104" s="3"/>
      <c r="T104" s="3"/>
      <c r="U104" s="3"/>
      <c r="V104" s="3"/>
      <c r="W104" s="3"/>
      <c r="X104" s="3"/>
      <c r="Y104" s="3"/>
      <c r="AB104" s="2"/>
      <c r="AC104" s="2"/>
      <c r="AD104" s="19"/>
      <c r="AE104" s="2"/>
      <c r="AF104" s="2"/>
      <c r="AG104" s="2"/>
      <c r="AH104" s="2"/>
    </row>
    <row r="105" spans="2:34" ht="12.75">
      <c r="B105" s="1"/>
      <c r="L105" s="6"/>
      <c r="S105" s="3"/>
      <c r="T105" s="3"/>
      <c r="U105" s="3"/>
      <c r="V105" s="3"/>
      <c r="W105" s="3"/>
      <c r="X105" s="3"/>
      <c r="Y105" s="3"/>
      <c r="AB105" s="2"/>
      <c r="AC105" s="2"/>
      <c r="AD105" s="19"/>
      <c r="AE105" s="2"/>
      <c r="AF105" s="2"/>
      <c r="AG105" s="2"/>
      <c r="AH105" s="2"/>
    </row>
    <row r="106" spans="2:34" ht="12.75">
      <c r="B106" s="1"/>
      <c r="S106" s="3"/>
      <c r="T106" s="3"/>
      <c r="U106" s="3"/>
      <c r="V106" s="3"/>
      <c r="W106" s="3"/>
      <c r="X106" s="3"/>
      <c r="Y106" s="3"/>
      <c r="AB106" s="2"/>
      <c r="AC106" s="2"/>
      <c r="AD106" s="19"/>
      <c r="AE106" s="2"/>
      <c r="AF106" s="2"/>
      <c r="AG106" s="2"/>
      <c r="AH106" s="2"/>
    </row>
    <row r="107" spans="2:34" ht="12.75">
      <c r="B107" s="1"/>
      <c r="S107" s="3"/>
      <c r="T107" s="3"/>
      <c r="U107" s="3"/>
      <c r="V107" s="3"/>
      <c r="W107" s="3"/>
      <c r="X107" s="3"/>
      <c r="Y107" s="3"/>
      <c r="AB107" s="2"/>
      <c r="AC107" s="2"/>
      <c r="AD107" s="19"/>
      <c r="AE107" s="2"/>
      <c r="AF107" s="2"/>
      <c r="AG107" s="2"/>
      <c r="AH107" s="2"/>
    </row>
    <row r="108" spans="2:11" ht="12.75">
      <c r="B108" s="1"/>
      <c r="D108" s="4"/>
      <c r="E108" s="4"/>
      <c r="F108" s="4"/>
      <c r="G108" s="4"/>
      <c r="H108" s="4"/>
      <c r="I108" s="4"/>
      <c r="J108" s="4"/>
      <c r="K108" s="4"/>
    </row>
    <row r="109" spans="2:11" ht="12.75">
      <c r="B109" s="1"/>
      <c r="D109" s="4"/>
      <c r="E109" s="4"/>
      <c r="F109" s="4"/>
      <c r="G109" s="4"/>
      <c r="H109" s="4"/>
      <c r="I109" s="4"/>
      <c r="J109" s="4"/>
      <c r="K109" s="4"/>
    </row>
    <row r="110" spans="2:11" ht="12.75">
      <c r="B110" s="1"/>
      <c r="D110" s="4"/>
      <c r="E110" s="4"/>
      <c r="F110" s="4"/>
      <c r="G110" s="4"/>
      <c r="H110" s="4"/>
      <c r="I110" s="4"/>
      <c r="J110" s="4"/>
      <c r="K110" s="4"/>
    </row>
    <row r="111" spans="2:11" ht="12.75">
      <c r="B111" s="1"/>
      <c r="D111" s="4"/>
      <c r="E111" s="4"/>
      <c r="F111" s="4"/>
      <c r="G111" s="4"/>
      <c r="H111" s="4"/>
      <c r="I111" s="4"/>
      <c r="J111" s="4"/>
      <c r="K111" s="4"/>
    </row>
    <row r="112" spans="2:11" ht="12.75">
      <c r="B112" s="1"/>
      <c r="D112" s="4"/>
      <c r="E112" s="4"/>
      <c r="F112" s="4"/>
      <c r="G112" s="4"/>
      <c r="H112" s="4"/>
      <c r="I112" s="4"/>
      <c r="J112" s="4"/>
      <c r="K112" s="4"/>
    </row>
    <row r="113" spans="2:11" ht="12.75">
      <c r="B113" s="1"/>
      <c r="D113" s="4"/>
      <c r="E113" s="4"/>
      <c r="F113" s="4"/>
      <c r="G113" s="4"/>
      <c r="H113" s="4"/>
      <c r="I113" s="4"/>
      <c r="J113" s="4"/>
      <c r="K113" s="4"/>
    </row>
    <row r="114" spans="2:11" ht="12.75">
      <c r="B114" s="1"/>
      <c r="D114" s="4"/>
      <c r="E114" s="4"/>
      <c r="F114" s="4"/>
      <c r="G114" s="4"/>
      <c r="H114" s="4"/>
      <c r="I114" s="4"/>
      <c r="J114" s="4"/>
      <c r="K114" s="4"/>
    </row>
    <row r="115" spans="2:11" ht="12.75">
      <c r="B115" s="1"/>
      <c r="D115" s="4"/>
      <c r="E115" s="4"/>
      <c r="F115" s="4"/>
      <c r="G115" s="4"/>
      <c r="H115" s="4"/>
      <c r="I115" s="4"/>
      <c r="J115" s="4"/>
      <c r="K115" s="4"/>
    </row>
    <row r="116" spans="2:11" ht="12.75">
      <c r="B116" s="1"/>
      <c r="D116" s="4"/>
      <c r="E116" s="4"/>
      <c r="F116" s="4"/>
      <c r="G116" s="4"/>
      <c r="H116" s="4"/>
      <c r="I116" s="4"/>
      <c r="J116" s="4"/>
      <c r="K116" s="4"/>
    </row>
    <row r="117" spans="2:11" ht="12.75">
      <c r="B117" s="1"/>
      <c r="D117" s="4"/>
      <c r="E117" s="4"/>
      <c r="F117" s="4"/>
      <c r="G117" s="4"/>
      <c r="H117" s="4"/>
      <c r="I117" s="4"/>
      <c r="J117" s="4"/>
      <c r="K117" s="4"/>
    </row>
    <row r="118" spans="2:11" ht="12.75">
      <c r="B118" s="1"/>
      <c r="D118" s="4"/>
      <c r="E118" s="4"/>
      <c r="F118" s="4"/>
      <c r="G118" s="4"/>
      <c r="H118" s="4"/>
      <c r="I118" s="4"/>
      <c r="J118" s="4"/>
      <c r="K118" s="4"/>
    </row>
    <row r="119" spans="2:11" ht="12.75">
      <c r="B119" s="1"/>
      <c r="D119" s="4"/>
      <c r="E119" s="4"/>
      <c r="F119" s="4"/>
      <c r="G119" s="4"/>
      <c r="H119" s="4"/>
      <c r="I119" s="4"/>
      <c r="J119" s="4"/>
      <c r="K119" s="4"/>
    </row>
    <row r="120" spans="2:11" ht="12.75">
      <c r="B120" s="1"/>
      <c r="D120" s="4"/>
      <c r="E120" s="4"/>
      <c r="F120" s="4"/>
      <c r="G120" s="4"/>
      <c r="H120" s="4"/>
      <c r="I120" s="4"/>
      <c r="J120" s="4"/>
      <c r="K120" s="4"/>
    </row>
    <row r="121" spans="2:11" ht="12.75">
      <c r="B121" s="1"/>
      <c r="D121" s="4"/>
      <c r="E121" s="4"/>
      <c r="F121" s="4"/>
      <c r="G121" s="4"/>
      <c r="H121" s="4"/>
      <c r="I121" s="4"/>
      <c r="J121" s="4"/>
      <c r="K121" s="4"/>
    </row>
    <row r="122" spans="2:11" ht="12.75">
      <c r="B122" s="1"/>
      <c r="D122" s="4"/>
      <c r="E122" s="4"/>
      <c r="F122" s="4"/>
      <c r="G122" s="4"/>
      <c r="H122" s="4"/>
      <c r="I122" s="4"/>
      <c r="J122" s="4"/>
      <c r="K122" s="4"/>
    </row>
    <row r="123" spans="2:11" ht="12.75">
      <c r="B123" s="1"/>
      <c r="D123" s="4"/>
      <c r="E123" s="4"/>
      <c r="F123" s="4"/>
      <c r="G123" s="4"/>
      <c r="H123" s="4"/>
      <c r="I123" s="4"/>
      <c r="J123" s="4"/>
      <c r="K123" s="4"/>
    </row>
    <row r="124" spans="2:11" ht="12.75">
      <c r="B124" s="1"/>
      <c r="D124" s="4"/>
      <c r="E124" s="4"/>
      <c r="F124" s="4"/>
      <c r="G124" s="4"/>
      <c r="H124" s="4"/>
      <c r="I124" s="4"/>
      <c r="J124" s="4"/>
      <c r="K124" s="4"/>
    </row>
    <row r="125" spans="2:11" ht="12.75">
      <c r="B125" s="1"/>
      <c r="D125" s="4"/>
      <c r="E125" s="4"/>
      <c r="F125" s="4"/>
      <c r="G125" s="4"/>
      <c r="H125" s="4"/>
      <c r="I125" s="4"/>
      <c r="J125" s="4"/>
      <c r="K125" s="4"/>
    </row>
    <row r="126" spans="2:11" ht="12.75">
      <c r="B126" s="1"/>
      <c r="D126" s="4"/>
      <c r="E126" s="4"/>
      <c r="F126" s="4"/>
      <c r="G126" s="4"/>
      <c r="H126" s="4"/>
      <c r="I126" s="4"/>
      <c r="J126" s="4"/>
      <c r="K126" s="4"/>
    </row>
    <row r="127" spans="2:11" ht="12.75">
      <c r="B127" s="1"/>
      <c r="D127" s="4"/>
      <c r="E127" s="4"/>
      <c r="F127" s="4"/>
      <c r="G127" s="4"/>
      <c r="H127" s="4"/>
      <c r="I127" s="4"/>
      <c r="J127" s="4"/>
      <c r="K127" s="4"/>
    </row>
    <row r="128" spans="2:11" ht="12.75">
      <c r="B128" s="1"/>
      <c r="D128" s="4"/>
      <c r="E128" s="4"/>
      <c r="F128" s="4"/>
      <c r="G128" s="4"/>
      <c r="H128" s="4"/>
      <c r="I128" s="4"/>
      <c r="J128" s="4"/>
      <c r="K128" s="4"/>
    </row>
    <row r="129" spans="2:11" ht="12.75">
      <c r="B129" s="1"/>
      <c r="D129" s="4"/>
      <c r="E129" s="4"/>
      <c r="F129" s="4"/>
      <c r="G129" s="4"/>
      <c r="H129" s="4"/>
      <c r="I129" s="4"/>
      <c r="J129" s="4"/>
      <c r="K129" s="4"/>
    </row>
    <row r="130" spans="2:11" ht="12.75">
      <c r="B130" s="1"/>
      <c r="D130" s="4"/>
      <c r="E130" s="4"/>
      <c r="F130" s="4"/>
      <c r="G130" s="4"/>
      <c r="H130" s="4"/>
      <c r="I130" s="4"/>
      <c r="J130" s="4"/>
      <c r="K130" s="4"/>
    </row>
    <row r="131" spans="2:11" ht="12.75">
      <c r="B131" s="1"/>
      <c r="D131" s="4"/>
      <c r="E131" s="4"/>
      <c r="F131" s="4"/>
      <c r="G131" s="4"/>
      <c r="H131" s="4"/>
      <c r="I131" s="4"/>
      <c r="J131" s="4"/>
      <c r="K131" s="4"/>
    </row>
    <row r="132" spans="2:11" ht="12.75">
      <c r="B132" s="1"/>
      <c r="D132" s="4"/>
      <c r="E132" s="4"/>
      <c r="F132" s="4"/>
      <c r="G132" s="4"/>
      <c r="H132" s="4"/>
      <c r="I132" s="4"/>
      <c r="J132" s="4"/>
      <c r="K132" s="4"/>
    </row>
    <row r="133" spans="2:11" ht="12.75">
      <c r="B133" s="1"/>
      <c r="D133" s="4"/>
      <c r="E133" s="4"/>
      <c r="F133" s="4"/>
      <c r="G133" s="4"/>
      <c r="H133" s="4"/>
      <c r="I133" s="4"/>
      <c r="J133" s="4"/>
      <c r="K133" s="4"/>
    </row>
    <row r="134" spans="2:11" ht="12.75">
      <c r="B134" s="1"/>
      <c r="D134" s="4"/>
      <c r="E134" s="4"/>
      <c r="F134" s="4"/>
      <c r="G134" s="4"/>
      <c r="H134" s="4"/>
      <c r="I134" s="4"/>
      <c r="J134" s="4"/>
      <c r="K134" s="4"/>
    </row>
    <row r="135" spans="2:11" ht="12.75">
      <c r="B135" s="1"/>
      <c r="D135" s="4"/>
      <c r="E135" s="4"/>
      <c r="F135" s="4"/>
      <c r="G135" s="4"/>
      <c r="H135" s="4"/>
      <c r="I135" s="4"/>
      <c r="J135" s="4"/>
      <c r="K135" s="4"/>
    </row>
    <row r="136" spans="2:11" ht="12.75">
      <c r="B136" s="1"/>
      <c r="D136" s="4"/>
      <c r="E136" s="4"/>
      <c r="F136" s="4"/>
      <c r="G136" s="4"/>
      <c r="H136" s="4"/>
      <c r="I136" s="4"/>
      <c r="J136" s="4"/>
      <c r="K136" s="4"/>
    </row>
    <row r="137" spans="2:11" ht="12.75">
      <c r="B137" s="1"/>
      <c r="D137" s="4"/>
      <c r="E137" s="4"/>
      <c r="F137" s="4"/>
      <c r="G137" s="4"/>
      <c r="H137" s="4"/>
      <c r="I137" s="4"/>
      <c r="J137" s="4"/>
      <c r="K137" s="4"/>
    </row>
    <row r="138" spans="2:11" ht="12.75">
      <c r="B138" s="1"/>
      <c r="D138" s="4"/>
      <c r="E138" s="4"/>
      <c r="F138" s="4"/>
      <c r="G138" s="4"/>
      <c r="H138" s="4"/>
      <c r="I138" s="4"/>
      <c r="J138" s="4"/>
      <c r="K138" s="4"/>
    </row>
    <row r="139" spans="2:11" ht="12.75">
      <c r="B139" s="1"/>
      <c r="D139" s="4"/>
      <c r="E139" s="4"/>
      <c r="F139" s="4"/>
      <c r="G139" s="4"/>
      <c r="H139" s="4"/>
      <c r="I139" s="4"/>
      <c r="J139" s="4"/>
      <c r="K139" s="4"/>
    </row>
    <row r="140" spans="2:11" ht="12.75">
      <c r="B140" s="1"/>
      <c r="D140" s="4"/>
      <c r="E140" s="4"/>
      <c r="F140" s="4"/>
      <c r="G140" s="4"/>
      <c r="H140" s="4"/>
      <c r="I140" s="4"/>
      <c r="J140" s="4"/>
      <c r="K140" s="4"/>
    </row>
    <row r="141" spans="2:11" ht="12.75">
      <c r="B141" s="1"/>
      <c r="D141" s="4"/>
      <c r="E141" s="4"/>
      <c r="F141" s="4"/>
      <c r="G141" s="4"/>
      <c r="H141" s="4"/>
      <c r="I141" s="4"/>
      <c r="J141" s="4"/>
      <c r="K141" s="4"/>
    </row>
    <row r="142" spans="2:11" ht="12.75">
      <c r="B142" s="1"/>
      <c r="D142" s="4"/>
      <c r="E142" s="4"/>
      <c r="F142" s="4"/>
      <c r="G142" s="4"/>
      <c r="H142" s="4"/>
      <c r="I142" s="4"/>
      <c r="J142" s="4"/>
      <c r="K142" s="4"/>
    </row>
    <row r="143" spans="2:11" ht="12.75">
      <c r="B143" s="1"/>
      <c r="D143" s="4"/>
      <c r="E143" s="4"/>
      <c r="F143" s="4"/>
      <c r="G143" s="4"/>
      <c r="H143" s="4"/>
      <c r="I143" s="4"/>
      <c r="J143" s="4"/>
      <c r="K143" s="4"/>
    </row>
    <row r="144" spans="2:11" ht="12.75">
      <c r="B144" s="1"/>
      <c r="D144" s="4"/>
      <c r="E144" s="4"/>
      <c r="F144" s="4"/>
      <c r="G144" s="4"/>
      <c r="H144" s="4"/>
      <c r="I144" s="4"/>
      <c r="J144" s="4"/>
      <c r="K144" s="4"/>
    </row>
    <row r="145" spans="2:11" ht="12.75">
      <c r="B145" s="1"/>
      <c r="D145" s="4"/>
      <c r="E145" s="4"/>
      <c r="F145" s="4"/>
      <c r="G145" s="4"/>
      <c r="H145" s="4"/>
      <c r="I145" s="4"/>
      <c r="J145" s="4"/>
      <c r="K145" s="4"/>
    </row>
    <row r="146" spans="2:11" ht="12.75">
      <c r="B146" s="1"/>
      <c r="D146" s="4"/>
      <c r="E146" s="4"/>
      <c r="F146" s="4"/>
      <c r="G146" s="4"/>
      <c r="H146" s="4"/>
      <c r="I146" s="4"/>
      <c r="J146" s="4"/>
      <c r="K146" s="4"/>
    </row>
    <row r="147" spans="2:11" ht="12.75">
      <c r="B147" s="1"/>
      <c r="D147" s="4"/>
      <c r="E147" s="4"/>
      <c r="F147" s="4"/>
      <c r="G147" s="4"/>
      <c r="H147" s="4"/>
      <c r="I147" s="4"/>
      <c r="J147" s="4"/>
      <c r="K147" s="4"/>
    </row>
    <row r="148" spans="2:11" ht="12.75">
      <c r="B148" s="1"/>
      <c r="D148" s="4"/>
      <c r="E148" s="4"/>
      <c r="F148" s="4"/>
      <c r="G148" s="4"/>
      <c r="H148" s="4"/>
      <c r="I148" s="4"/>
      <c r="J148" s="4"/>
      <c r="K148" s="4"/>
    </row>
    <row r="149" spans="2:11" ht="12.75">
      <c r="B149" s="1"/>
      <c r="D149" s="4"/>
      <c r="E149" s="4"/>
      <c r="F149" s="4"/>
      <c r="G149" s="4"/>
      <c r="H149" s="4"/>
      <c r="I149" s="4"/>
      <c r="J149" s="4"/>
      <c r="K149" s="4"/>
    </row>
    <row r="150" spans="2:11" ht="12.75">
      <c r="B150" s="1"/>
      <c r="D150" s="4"/>
      <c r="E150" s="4"/>
      <c r="F150" s="4"/>
      <c r="G150" s="4"/>
      <c r="H150" s="4"/>
      <c r="I150" s="4"/>
      <c r="J150" s="4"/>
      <c r="K150" s="4"/>
    </row>
    <row r="151" spans="2:11" ht="12.75">
      <c r="B151" s="1"/>
      <c r="D151" s="4"/>
      <c r="E151" s="4"/>
      <c r="F151" s="4"/>
      <c r="G151" s="4"/>
      <c r="H151" s="4"/>
      <c r="I151" s="4"/>
      <c r="J151" s="4"/>
      <c r="K151" s="4"/>
    </row>
    <row r="152" spans="2:11" ht="12.75">
      <c r="B152" s="1"/>
      <c r="D152" s="4"/>
      <c r="E152" s="4"/>
      <c r="F152" s="4"/>
      <c r="G152" s="4"/>
      <c r="H152" s="4"/>
      <c r="I152" s="4"/>
      <c r="J152" s="4"/>
      <c r="K152" s="4"/>
    </row>
    <row r="153" spans="2:11" ht="12.75">
      <c r="B153" s="1"/>
      <c r="D153" s="4"/>
      <c r="E153" s="4"/>
      <c r="F153" s="4"/>
      <c r="G153" s="4"/>
      <c r="H153" s="4"/>
      <c r="I153" s="4"/>
      <c r="J153" s="4"/>
      <c r="K153" s="4"/>
    </row>
    <row r="154" spans="2:11" ht="12.75">
      <c r="B154" s="1"/>
      <c r="D154" s="4"/>
      <c r="E154" s="4"/>
      <c r="F154" s="4"/>
      <c r="G154" s="4"/>
      <c r="H154" s="4"/>
      <c r="I154" s="4"/>
      <c r="J154" s="4"/>
      <c r="K154" s="4"/>
    </row>
    <row r="155" spans="2:11" ht="12.75">
      <c r="B155" s="1"/>
      <c r="D155" s="4"/>
      <c r="E155" s="4"/>
      <c r="F155" s="4"/>
      <c r="G155" s="4"/>
      <c r="H155" s="4"/>
      <c r="I155" s="4"/>
      <c r="J155" s="4"/>
      <c r="K155" s="4"/>
    </row>
    <row r="156" spans="2:11" ht="12.75">
      <c r="B156" s="1"/>
      <c r="D156" s="4"/>
      <c r="E156" s="4"/>
      <c r="F156" s="4"/>
      <c r="G156" s="4"/>
      <c r="H156" s="4"/>
      <c r="I156" s="4"/>
      <c r="J156" s="4"/>
      <c r="K156" s="4"/>
    </row>
    <row r="157" spans="2:11" ht="12.75">
      <c r="B157" s="1"/>
      <c r="D157" s="4"/>
      <c r="E157" s="4"/>
      <c r="F157" s="4"/>
      <c r="G157" s="4"/>
      <c r="H157" s="4"/>
      <c r="I157" s="4"/>
      <c r="J157" s="4"/>
      <c r="K157" s="4"/>
    </row>
    <row r="158" spans="2:11" ht="12.75">
      <c r="B158" s="1"/>
      <c r="D158" s="4"/>
      <c r="E158" s="4"/>
      <c r="F158" s="4"/>
      <c r="G158" s="4"/>
      <c r="H158" s="4"/>
      <c r="I158" s="4"/>
      <c r="J158" s="4"/>
      <c r="K158" s="4"/>
    </row>
    <row r="159" spans="2:11" ht="12.75">
      <c r="B159" s="1"/>
      <c r="D159" s="4"/>
      <c r="E159" s="4"/>
      <c r="F159" s="4"/>
      <c r="G159" s="4"/>
      <c r="H159" s="4"/>
      <c r="I159" s="4"/>
      <c r="J159" s="4"/>
      <c r="K159" s="4"/>
    </row>
    <row r="160" spans="2:11" ht="12.75">
      <c r="B160" s="1"/>
      <c r="D160" s="4"/>
      <c r="E160" s="4"/>
      <c r="F160" s="4"/>
      <c r="G160" s="4"/>
      <c r="H160" s="4"/>
      <c r="I160" s="4"/>
      <c r="J160" s="4"/>
      <c r="K160" s="4"/>
    </row>
    <row r="161" spans="2:11" ht="12.75">
      <c r="B161" s="1"/>
      <c r="D161" s="4"/>
      <c r="E161" s="4"/>
      <c r="F161" s="4"/>
      <c r="G161" s="4"/>
      <c r="H161" s="4"/>
      <c r="I161" s="4"/>
      <c r="J161" s="4"/>
      <c r="K161" s="4"/>
    </row>
    <row r="162" spans="2:11" ht="12.75">
      <c r="B162" s="1"/>
      <c r="D162" s="4"/>
      <c r="E162" s="4"/>
      <c r="F162" s="4"/>
      <c r="G162" s="4"/>
      <c r="H162" s="4"/>
      <c r="I162" s="4"/>
      <c r="J162" s="4"/>
      <c r="K162" s="4"/>
    </row>
    <row r="251" spans="2:11" ht="12.75">
      <c r="B251" s="1"/>
      <c r="D251" s="4"/>
      <c r="E251" s="4"/>
      <c r="F251" s="4"/>
      <c r="G251" s="4"/>
      <c r="H251" s="4"/>
      <c r="I251" s="4"/>
      <c r="J251" s="4"/>
      <c r="K251" s="4"/>
    </row>
    <row r="252" spans="2:11" ht="12.75">
      <c r="B252" s="1"/>
      <c r="D252" s="4"/>
      <c r="E252" s="4"/>
      <c r="F252" s="4"/>
      <c r="G252" s="4"/>
      <c r="H252" s="4"/>
      <c r="I252" s="4"/>
      <c r="J252" s="4"/>
      <c r="K252" s="4"/>
    </row>
    <row r="253" spans="2:11" ht="12.75">
      <c r="B253" s="1"/>
      <c r="D253" s="4"/>
      <c r="E253" s="4"/>
      <c r="F253" s="4"/>
      <c r="G253" s="4"/>
      <c r="H253" s="4"/>
      <c r="I253" s="4"/>
      <c r="J253" s="4"/>
      <c r="K253" s="4"/>
    </row>
    <row r="254" spans="2:11" ht="12.75">
      <c r="B254" s="1"/>
      <c r="D254" s="4"/>
      <c r="E254" s="4"/>
      <c r="F254" s="4"/>
      <c r="G254" s="4"/>
      <c r="H254" s="4"/>
      <c r="I254" s="4"/>
      <c r="J254" s="4"/>
      <c r="K254" s="4"/>
    </row>
    <row r="255" spans="2:11" ht="12.75">
      <c r="B255" s="1"/>
      <c r="D255" s="4"/>
      <c r="E255" s="4"/>
      <c r="F255" s="4"/>
      <c r="G255" s="4"/>
      <c r="H255" s="4"/>
      <c r="I255" s="4"/>
      <c r="J255" s="4"/>
      <c r="K255" s="4"/>
    </row>
    <row r="256" spans="2:11" ht="12.75">
      <c r="B256" s="1"/>
      <c r="D256" s="4"/>
      <c r="E256" s="4"/>
      <c r="F256" s="4"/>
      <c r="G256" s="4"/>
      <c r="H256" s="4"/>
      <c r="I256" s="4"/>
      <c r="J256" s="4"/>
      <c r="K256" s="4"/>
    </row>
    <row r="257" spans="2:11" ht="12.75">
      <c r="B257" s="1"/>
      <c r="D257" s="4"/>
      <c r="E257" s="4"/>
      <c r="F257" s="4"/>
      <c r="G257" s="4"/>
      <c r="H257" s="4"/>
      <c r="I257" s="4"/>
      <c r="J257" s="4"/>
      <c r="K257" s="4"/>
    </row>
    <row r="258" spans="2:11" ht="12.75">
      <c r="B258" s="1"/>
      <c r="D258" s="4"/>
      <c r="E258" s="4"/>
      <c r="F258" s="4"/>
      <c r="G258" s="4"/>
      <c r="H258" s="4"/>
      <c r="I258" s="4"/>
      <c r="J258" s="4"/>
      <c r="K258" s="4"/>
    </row>
    <row r="259" spans="2:11" ht="12.75">
      <c r="B259" s="1"/>
      <c r="D259" s="4"/>
      <c r="E259" s="4"/>
      <c r="F259" s="4"/>
      <c r="G259" s="4"/>
      <c r="H259" s="4"/>
      <c r="I259" s="4"/>
      <c r="J259" s="4"/>
      <c r="K259" s="4"/>
    </row>
    <row r="260" spans="2:11" ht="12.75">
      <c r="B260" s="1"/>
      <c r="D260" s="4"/>
      <c r="E260" s="4"/>
      <c r="F260" s="4"/>
      <c r="G260" s="4"/>
      <c r="H260" s="4"/>
      <c r="I260" s="4"/>
      <c r="J260" s="4"/>
      <c r="K260" s="4"/>
    </row>
    <row r="261" spans="2:11" ht="12.75">
      <c r="B261" s="1"/>
      <c r="D261" s="4"/>
      <c r="E261" s="4"/>
      <c r="F261" s="4"/>
      <c r="G261" s="4"/>
      <c r="H261" s="4"/>
      <c r="I261" s="4"/>
      <c r="J261" s="4"/>
      <c r="K261" s="4"/>
    </row>
    <row r="262" spans="2:11" ht="12.75">
      <c r="B262" s="1"/>
      <c r="D262" s="4"/>
      <c r="E262" s="4"/>
      <c r="F262" s="4"/>
      <c r="G262" s="4"/>
      <c r="H262" s="4"/>
      <c r="I262" s="4"/>
      <c r="J262" s="4"/>
      <c r="K262" s="4"/>
    </row>
    <row r="263" spans="2:11" ht="12.75">
      <c r="B263" s="1"/>
      <c r="D263" s="4"/>
      <c r="E263" s="4"/>
      <c r="F263" s="4"/>
      <c r="G263" s="4"/>
      <c r="H263" s="4"/>
      <c r="I263" s="4"/>
      <c r="J263" s="4"/>
      <c r="K263" s="4"/>
    </row>
    <row r="264" spans="2:11" ht="12.75">
      <c r="B264" s="1"/>
      <c r="D264" s="4"/>
      <c r="E264" s="4"/>
      <c r="F264" s="4"/>
      <c r="G264" s="4"/>
      <c r="H264" s="4"/>
      <c r="I264" s="4"/>
      <c r="J264" s="4"/>
      <c r="K264" s="4"/>
    </row>
    <row r="265" spans="2:11" ht="12.75">
      <c r="B265" s="1"/>
      <c r="D265" s="4"/>
      <c r="E265" s="4"/>
      <c r="F265" s="4"/>
      <c r="G265" s="4"/>
      <c r="H265" s="4"/>
      <c r="I265" s="4"/>
      <c r="J265" s="4"/>
      <c r="K265" s="4"/>
    </row>
    <row r="266" spans="2:11" ht="12.75">
      <c r="B266" s="1"/>
      <c r="D266" s="4"/>
      <c r="E266" s="4"/>
      <c r="F266" s="4"/>
      <c r="G266" s="4"/>
      <c r="H266" s="4"/>
      <c r="I266" s="4"/>
      <c r="J266" s="4"/>
      <c r="K266" s="4"/>
    </row>
    <row r="267" spans="2:11" ht="12.75">
      <c r="B267" s="1"/>
      <c r="D267" s="4"/>
      <c r="E267" s="4"/>
      <c r="F267" s="4"/>
      <c r="G267" s="4"/>
      <c r="H267" s="4"/>
      <c r="I267" s="4"/>
      <c r="J267" s="4"/>
      <c r="K267" s="4"/>
    </row>
    <row r="268" spans="2:11" ht="12.75">
      <c r="B268" s="1"/>
      <c r="D268" s="4"/>
      <c r="E268" s="4"/>
      <c r="F268" s="4"/>
      <c r="G268" s="4"/>
      <c r="H268" s="4"/>
      <c r="I268" s="4"/>
      <c r="J268" s="4"/>
      <c r="K268" s="4"/>
    </row>
    <row r="269" spans="2:11" ht="12.75">
      <c r="B269" s="1"/>
      <c r="D269" s="4"/>
      <c r="E269" s="4"/>
      <c r="F269" s="4"/>
      <c r="G269" s="4"/>
      <c r="H269" s="4"/>
      <c r="I269" s="4"/>
      <c r="J269" s="4"/>
      <c r="K269" s="4"/>
    </row>
    <row r="270" spans="2:11" ht="12.75">
      <c r="B270" s="1"/>
      <c r="D270" s="4"/>
      <c r="E270" s="4"/>
      <c r="F270" s="4"/>
      <c r="G270" s="4"/>
      <c r="H270" s="4"/>
      <c r="I270" s="4"/>
      <c r="J270" s="4"/>
      <c r="K270" s="4"/>
    </row>
    <row r="271" spans="2:11" ht="12.75">
      <c r="B271" s="1"/>
      <c r="D271" s="4"/>
      <c r="E271" s="4"/>
      <c r="F271" s="4"/>
      <c r="G271" s="4"/>
      <c r="H271" s="4"/>
      <c r="I271" s="4"/>
      <c r="J271" s="4"/>
      <c r="K271" s="4"/>
    </row>
    <row r="272" spans="2:11" ht="12.75">
      <c r="B272" s="1"/>
      <c r="D272" s="4"/>
      <c r="E272" s="4"/>
      <c r="F272" s="4"/>
      <c r="G272" s="4"/>
      <c r="H272" s="4"/>
      <c r="I272" s="4"/>
      <c r="J272" s="4"/>
      <c r="K272" s="4"/>
    </row>
    <row r="273" spans="2:11" ht="12.75">
      <c r="B273" s="1"/>
      <c r="D273" s="4"/>
      <c r="E273" s="4"/>
      <c r="F273" s="4"/>
      <c r="G273" s="4"/>
      <c r="H273" s="4"/>
      <c r="I273" s="4"/>
      <c r="J273" s="4"/>
      <c r="K273" s="4"/>
    </row>
    <row r="274" spans="2:11" ht="12.75">
      <c r="B274" s="1"/>
      <c r="D274" s="4"/>
      <c r="E274" s="4"/>
      <c r="F274" s="4"/>
      <c r="G274" s="4"/>
      <c r="H274" s="4"/>
      <c r="I274" s="4"/>
      <c r="J274" s="4"/>
      <c r="K274" s="4"/>
    </row>
    <row r="275" spans="2:11" ht="12.75">
      <c r="B275" s="1"/>
      <c r="D275" s="4"/>
      <c r="E275" s="4"/>
      <c r="F275" s="4"/>
      <c r="G275" s="4"/>
      <c r="H275" s="4"/>
      <c r="I275" s="4"/>
      <c r="J275" s="4"/>
      <c r="K275" s="4"/>
    </row>
    <row r="276" spans="2:11" ht="12.75">
      <c r="B276" s="1"/>
      <c r="D276" s="4"/>
      <c r="E276" s="4"/>
      <c r="F276" s="4"/>
      <c r="G276" s="4"/>
      <c r="H276" s="4"/>
      <c r="I276" s="4"/>
      <c r="J276" s="4"/>
      <c r="K276" s="4"/>
    </row>
    <row r="277" spans="2:11" ht="12.75">
      <c r="B277" s="1"/>
      <c r="D277" s="4"/>
      <c r="E277" s="4"/>
      <c r="F277" s="4"/>
      <c r="G277" s="4"/>
      <c r="H277" s="4"/>
      <c r="I277" s="4"/>
      <c r="J277" s="4"/>
      <c r="K277" s="4"/>
    </row>
    <row r="278" spans="2:11" ht="12.75">
      <c r="B278" s="1"/>
      <c r="D278" s="4"/>
      <c r="E278" s="4"/>
      <c r="F278" s="4"/>
      <c r="G278" s="4"/>
      <c r="H278" s="4"/>
      <c r="I278" s="4"/>
      <c r="J278" s="4"/>
      <c r="K278" s="4"/>
    </row>
    <row r="279" spans="2:11" ht="12.75">
      <c r="B279" s="1"/>
      <c r="D279" s="4"/>
      <c r="E279" s="4"/>
      <c r="F279" s="4"/>
      <c r="G279" s="4"/>
      <c r="H279" s="4"/>
      <c r="I279" s="4"/>
      <c r="J279" s="4"/>
      <c r="K279" s="4"/>
    </row>
    <row r="280" spans="2:11" ht="12.75">
      <c r="B280" s="1"/>
      <c r="D280" s="4"/>
      <c r="E280" s="4"/>
      <c r="F280" s="4"/>
      <c r="G280" s="4"/>
      <c r="H280" s="4"/>
      <c r="I280" s="4"/>
      <c r="J280" s="4"/>
      <c r="K280" s="4"/>
    </row>
    <row r="281" spans="2:11" ht="12.75">
      <c r="B281" s="1"/>
      <c r="D281" s="4"/>
      <c r="E281" s="4"/>
      <c r="F281" s="4"/>
      <c r="G281" s="4"/>
      <c r="H281" s="4"/>
      <c r="I281" s="4"/>
      <c r="J281" s="4"/>
      <c r="K281" s="4"/>
    </row>
    <row r="282" spans="2:11" ht="12.75">
      <c r="B282" s="1"/>
      <c r="D282" s="4"/>
      <c r="E282" s="4"/>
      <c r="F282" s="4"/>
      <c r="G282" s="4"/>
      <c r="H282" s="4"/>
      <c r="I282" s="4"/>
      <c r="J282" s="4"/>
      <c r="K282" s="4"/>
    </row>
    <row r="283" spans="2:11" ht="12.75">
      <c r="B283" s="1"/>
      <c r="D283" s="4"/>
      <c r="E283" s="4"/>
      <c r="F283" s="4"/>
      <c r="G283" s="4"/>
      <c r="H283" s="4"/>
      <c r="I283" s="4"/>
      <c r="J283" s="4"/>
      <c r="K283" s="4"/>
    </row>
    <row r="284" spans="2:11" ht="12.75">
      <c r="B284" s="1"/>
      <c r="D284" s="4"/>
      <c r="E284" s="4"/>
      <c r="F284" s="4"/>
      <c r="G284" s="4"/>
      <c r="H284" s="4"/>
      <c r="I284" s="4"/>
      <c r="J284" s="4"/>
      <c r="K284" s="4"/>
    </row>
    <row r="285" spans="2:11" ht="12.75">
      <c r="B285" s="1"/>
      <c r="D285" s="4"/>
      <c r="E285" s="4"/>
      <c r="F285" s="4"/>
      <c r="G285" s="4"/>
      <c r="H285" s="4"/>
      <c r="I285" s="4"/>
      <c r="J285" s="4"/>
      <c r="K285" s="4"/>
    </row>
    <row r="286" spans="2:11" ht="12.75">
      <c r="B286" s="1"/>
      <c r="D286" s="4"/>
      <c r="E286" s="4"/>
      <c r="F286" s="4"/>
      <c r="G286" s="4"/>
      <c r="H286" s="4"/>
      <c r="I286" s="4"/>
      <c r="J286" s="4"/>
      <c r="K286" s="4"/>
    </row>
    <row r="287" spans="2:11" ht="12.75">
      <c r="B287" s="1"/>
      <c r="D287" s="4"/>
      <c r="E287" s="4"/>
      <c r="F287" s="4"/>
      <c r="G287" s="4"/>
      <c r="H287" s="4"/>
      <c r="I287" s="4"/>
      <c r="J287" s="4"/>
      <c r="K287" s="4"/>
    </row>
    <row r="288" spans="2:11" ht="12.75">
      <c r="B288" s="1"/>
      <c r="D288" s="4"/>
      <c r="E288" s="4"/>
      <c r="F288" s="4"/>
      <c r="G288" s="4"/>
      <c r="H288" s="4"/>
      <c r="I288" s="4"/>
      <c r="J288" s="4"/>
      <c r="K288" s="4"/>
    </row>
    <row r="289" spans="2:11" ht="12.75">
      <c r="B289" s="1"/>
      <c r="D289" s="4"/>
      <c r="E289" s="4"/>
      <c r="F289" s="4"/>
      <c r="G289" s="4"/>
      <c r="H289" s="4"/>
      <c r="I289" s="4"/>
      <c r="J289" s="4"/>
      <c r="K289" s="4"/>
    </row>
    <row r="290" spans="2:11" ht="12.75">
      <c r="B290" s="1"/>
      <c r="D290" s="4"/>
      <c r="E290" s="4"/>
      <c r="F290" s="4"/>
      <c r="G290" s="4"/>
      <c r="H290" s="4"/>
      <c r="I290" s="4"/>
      <c r="J290" s="4"/>
      <c r="K290" s="4"/>
    </row>
    <row r="291" spans="2:11" ht="12.75">
      <c r="B291" s="1"/>
      <c r="D291" s="4"/>
      <c r="E291" s="4"/>
      <c r="F291" s="4"/>
      <c r="G291" s="4"/>
      <c r="H291" s="4"/>
      <c r="I291" s="4"/>
      <c r="J291" s="4"/>
      <c r="K291" s="4"/>
    </row>
    <row r="292" spans="2:11" ht="12.75">
      <c r="B292" s="1"/>
      <c r="D292" s="4"/>
      <c r="E292" s="4"/>
      <c r="F292" s="4"/>
      <c r="G292" s="4"/>
      <c r="H292" s="4"/>
      <c r="I292" s="4"/>
      <c r="J292" s="4"/>
      <c r="K292" s="4"/>
    </row>
    <row r="293" spans="2:11" ht="12.75">
      <c r="B293" s="1"/>
      <c r="D293" s="4"/>
      <c r="E293" s="4"/>
      <c r="F293" s="4"/>
      <c r="G293" s="4"/>
      <c r="H293" s="4"/>
      <c r="I293" s="4"/>
      <c r="J293" s="4"/>
      <c r="K293" s="4"/>
    </row>
    <row r="294" spans="2:11" ht="12.75">
      <c r="B294" s="1"/>
      <c r="D294" s="4"/>
      <c r="E294" s="4"/>
      <c r="F294" s="4"/>
      <c r="G294" s="4"/>
      <c r="H294" s="4"/>
      <c r="I294" s="4"/>
      <c r="J294" s="4"/>
      <c r="K294" s="4"/>
    </row>
    <row r="295" spans="2:11" ht="12.75">
      <c r="B295" s="1"/>
      <c r="D295" s="4"/>
      <c r="E295" s="4"/>
      <c r="F295" s="4"/>
      <c r="G295" s="4"/>
      <c r="H295" s="4"/>
      <c r="I295" s="4"/>
      <c r="J295" s="4"/>
      <c r="K295" s="4"/>
    </row>
    <row r="296" spans="2:11" ht="12.75">
      <c r="B296" s="1"/>
      <c r="D296" s="4"/>
      <c r="E296" s="4"/>
      <c r="F296" s="4"/>
      <c r="G296" s="4"/>
      <c r="H296" s="4"/>
      <c r="I296" s="4"/>
      <c r="J296" s="4"/>
      <c r="K296" s="4"/>
    </row>
    <row r="297" spans="2:11" ht="12.75">
      <c r="B297" s="1"/>
      <c r="D297" s="4"/>
      <c r="E297" s="4"/>
      <c r="F297" s="4"/>
      <c r="G297" s="4"/>
      <c r="H297" s="4"/>
      <c r="I297" s="4"/>
      <c r="J297" s="4"/>
      <c r="K297" s="4"/>
    </row>
    <row r="298" spans="2:11" ht="12.75">
      <c r="B298" s="1"/>
      <c r="D298" s="4"/>
      <c r="E298" s="4"/>
      <c r="F298" s="4"/>
      <c r="G298" s="4"/>
      <c r="H298" s="4"/>
      <c r="I298" s="4"/>
      <c r="J298" s="4"/>
      <c r="K298" s="4"/>
    </row>
    <row r="299" spans="2:11" ht="12.75">
      <c r="B299" s="1"/>
      <c r="D299" s="4"/>
      <c r="E299" s="4"/>
      <c r="F299" s="4"/>
      <c r="G299" s="4"/>
      <c r="H299" s="4"/>
      <c r="I299" s="4"/>
      <c r="J299" s="4"/>
      <c r="K299" s="4"/>
    </row>
    <row r="300" spans="2:11" ht="12.75">
      <c r="B300" s="1"/>
      <c r="D300" s="4"/>
      <c r="E300" s="4"/>
      <c r="F300" s="4"/>
      <c r="G300" s="4"/>
      <c r="H300" s="4"/>
      <c r="I300" s="4"/>
      <c r="J300" s="4"/>
      <c r="K300" s="4"/>
    </row>
    <row r="301" spans="2:11" ht="12.75">
      <c r="B301" s="1"/>
      <c r="D301" s="4"/>
      <c r="E301" s="4"/>
      <c r="F301" s="4"/>
      <c r="G301" s="4"/>
      <c r="H301" s="4"/>
      <c r="I301" s="4"/>
      <c r="J301" s="4"/>
      <c r="K301" s="4"/>
    </row>
    <row r="302" spans="2:11" ht="12.75">
      <c r="B302" s="1"/>
      <c r="D302" s="4"/>
      <c r="E302" s="4"/>
      <c r="F302" s="4"/>
      <c r="G302" s="4"/>
      <c r="H302" s="4"/>
      <c r="I302" s="4"/>
      <c r="J302" s="4"/>
      <c r="K302" s="4"/>
    </row>
    <row r="303" spans="2:11" ht="12.75">
      <c r="B303" s="1"/>
      <c r="D303" s="4"/>
      <c r="E303" s="4"/>
      <c r="F303" s="4"/>
      <c r="G303" s="4"/>
      <c r="H303" s="4"/>
      <c r="I303" s="4"/>
      <c r="J303" s="4"/>
      <c r="K303" s="4"/>
    </row>
    <row r="304" spans="2:11" ht="12.75">
      <c r="B304" s="1"/>
      <c r="D304" s="4"/>
      <c r="E304" s="4"/>
      <c r="F304" s="4"/>
      <c r="G304" s="4"/>
      <c r="H304" s="4"/>
      <c r="I304" s="4"/>
      <c r="J304" s="4"/>
      <c r="K304" s="4"/>
    </row>
    <row r="305" spans="2:11" ht="12.75">
      <c r="B305" s="1"/>
      <c r="D305" s="4"/>
      <c r="E305" s="4"/>
      <c r="F305" s="4"/>
      <c r="G305" s="4"/>
      <c r="H305" s="4"/>
      <c r="I305" s="4"/>
      <c r="J305" s="4"/>
      <c r="K305" s="4"/>
    </row>
    <row r="306" spans="2:11" ht="12.75">
      <c r="B306" s="1"/>
      <c r="D306" s="4"/>
      <c r="E306" s="4"/>
      <c r="F306" s="4"/>
      <c r="G306" s="4"/>
      <c r="H306" s="4"/>
      <c r="I306" s="4"/>
      <c r="J306" s="4"/>
      <c r="K306" s="4"/>
    </row>
    <row r="307" spans="2:11" ht="12.75">
      <c r="B307" s="1"/>
      <c r="D307" s="4"/>
      <c r="E307" s="4"/>
      <c r="F307" s="4"/>
      <c r="G307" s="4"/>
      <c r="H307" s="4"/>
      <c r="I307" s="4"/>
      <c r="J307" s="4"/>
      <c r="K307" s="4"/>
    </row>
    <row r="308" spans="2:11" ht="12.75">
      <c r="B308" s="1"/>
      <c r="D308" s="4"/>
      <c r="E308" s="4"/>
      <c r="F308" s="4"/>
      <c r="G308" s="4"/>
      <c r="H308" s="4"/>
      <c r="I308" s="4"/>
      <c r="J308" s="4"/>
      <c r="K308" s="4"/>
    </row>
    <row r="309" spans="2:11" ht="12.75">
      <c r="B309" s="1"/>
      <c r="D309" s="4"/>
      <c r="E309" s="4"/>
      <c r="F309" s="4"/>
      <c r="G309" s="4"/>
      <c r="H309" s="4"/>
      <c r="I309" s="4"/>
      <c r="J309" s="4"/>
      <c r="K309" s="4"/>
    </row>
    <row r="310" spans="2:11" ht="12.75">
      <c r="B310" s="1"/>
      <c r="D310" s="4"/>
      <c r="E310" s="4"/>
      <c r="F310" s="4"/>
      <c r="G310" s="4"/>
      <c r="H310" s="4"/>
      <c r="I310" s="4"/>
      <c r="J310" s="4"/>
      <c r="K310" s="4"/>
    </row>
    <row r="311" spans="2:11" ht="12.75">
      <c r="B311" s="1"/>
      <c r="D311" s="4"/>
      <c r="E311" s="4"/>
      <c r="F311" s="4"/>
      <c r="G311" s="4"/>
      <c r="H311" s="4"/>
      <c r="I311" s="4"/>
      <c r="J311" s="4"/>
      <c r="K311" s="4"/>
    </row>
    <row r="312" spans="2:11" ht="12.75">
      <c r="B312" s="1"/>
      <c r="D312" s="4"/>
      <c r="E312" s="4"/>
      <c r="F312" s="4"/>
      <c r="G312" s="4"/>
      <c r="H312" s="4"/>
      <c r="I312" s="4"/>
      <c r="J312" s="4"/>
      <c r="K312" s="4"/>
    </row>
    <row r="313" spans="2:11" ht="12.75">
      <c r="B313" s="1"/>
      <c r="D313" s="4"/>
      <c r="E313" s="4"/>
      <c r="F313" s="4"/>
      <c r="G313" s="4"/>
      <c r="H313" s="4"/>
      <c r="I313" s="4"/>
      <c r="J313" s="4"/>
      <c r="K313" s="4"/>
    </row>
    <row r="314" spans="2:11" ht="12.75">
      <c r="B314" s="1"/>
      <c r="D314" s="4"/>
      <c r="E314" s="4"/>
      <c r="F314" s="4"/>
      <c r="G314" s="4"/>
      <c r="H314" s="4"/>
      <c r="I314" s="4"/>
      <c r="J314" s="4"/>
      <c r="K314" s="4"/>
    </row>
    <row r="315" spans="2:11" ht="12.75">
      <c r="B315" s="1"/>
      <c r="D315" s="4"/>
      <c r="E315" s="4"/>
      <c r="F315" s="4"/>
      <c r="G315" s="4"/>
      <c r="H315" s="4"/>
      <c r="I315" s="4"/>
      <c r="J315" s="4"/>
      <c r="K315" s="4"/>
    </row>
    <row r="316" spans="2:11" ht="12.75">
      <c r="B316" s="1"/>
      <c r="D316" s="4"/>
      <c r="E316" s="4"/>
      <c r="F316" s="4"/>
      <c r="G316" s="4"/>
      <c r="H316" s="4"/>
      <c r="I316" s="4"/>
      <c r="J316" s="4"/>
      <c r="K316" s="4"/>
    </row>
    <row r="317" spans="2:11" ht="12.75">
      <c r="B317" s="1"/>
      <c r="D317" s="4"/>
      <c r="E317" s="4"/>
      <c r="F317" s="4"/>
      <c r="G317" s="4"/>
      <c r="H317" s="4"/>
      <c r="I317" s="4"/>
      <c r="J317" s="4"/>
      <c r="K317" s="4"/>
    </row>
    <row r="318" spans="2:11" ht="12.75">
      <c r="B318" s="1"/>
      <c r="D318" s="4"/>
      <c r="E318" s="4"/>
      <c r="F318" s="4"/>
      <c r="G318" s="4"/>
      <c r="H318" s="4"/>
      <c r="I318" s="4"/>
      <c r="J318" s="4"/>
      <c r="K318" s="4"/>
    </row>
    <row r="319" spans="2:11" ht="12.75">
      <c r="B319" s="1"/>
      <c r="D319" s="4"/>
      <c r="E319" s="4"/>
      <c r="F319" s="4"/>
      <c r="G319" s="4"/>
      <c r="H319" s="4"/>
      <c r="I319" s="4"/>
      <c r="J319" s="4"/>
      <c r="K319" s="4"/>
    </row>
    <row r="320" spans="2:11" ht="12.75">
      <c r="B320" s="1"/>
      <c r="D320" s="4"/>
      <c r="E320" s="4"/>
      <c r="F320" s="4"/>
      <c r="G320" s="4"/>
      <c r="H320" s="4"/>
      <c r="I320" s="4"/>
      <c r="J320" s="4"/>
      <c r="K320" s="4"/>
    </row>
    <row r="321" spans="2:11" ht="12.75">
      <c r="B321" s="1"/>
      <c r="D321" s="4"/>
      <c r="E321" s="4"/>
      <c r="F321" s="4"/>
      <c r="G321" s="4"/>
      <c r="H321" s="4"/>
      <c r="I321" s="4"/>
      <c r="J321" s="4"/>
      <c r="K321" s="4"/>
    </row>
    <row r="322" spans="2:11" ht="12.75">
      <c r="B322" s="1"/>
      <c r="D322" s="4"/>
      <c r="E322" s="4"/>
      <c r="F322" s="4"/>
      <c r="G322" s="4"/>
      <c r="H322" s="4"/>
      <c r="I322" s="4"/>
      <c r="J322" s="4"/>
      <c r="K322" s="4"/>
    </row>
    <row r="323" spans="2:11" ht="12.75">
      <c r="B323" s="1"/>
      <c r="D323" s="4"/>
      <c r="E323" s="4"/>
      <c r="F323" s="4"/>
      <c r="G323" s="4"/>
      <c r="H323" s="4"/>
      <c r="I323" s="4"/>
      <c r="J323" s="4"/>
      <c r="K323" s="4"/>
    </row>
    <row r="324" spans="2:11" ht="12.75">
      <c r="B324" s="1"/>
      <c r="D324" s="4"/>
      <c r="E324" s="4"/>
      <c r="F324" s="4"/>
      <c r="G324" s="4"/>
      <c r="H324" s="4"/>
      <c r="I324" s="4"/>
      <c r="J324" s="4"/>
      <c r="K324" s="4"/>
    </row>
    <row r="325" spans="2:11" ht="12.75">
      <c r="B325" s="1"/>
      <c r="D325" s="4"/>
      <c r="E325" s="4"/>
      <c r="F325" s="4"/>
      <c r="G325" s="4"/>
      <c r="H325" s="4"/>
      <c r="I325" s="4"/>
      <c r="J325" s="4"/>
      <c r="K325" s="4"/>
    </row>
    <row r="326" spans="2:11" ht="12.75">
      <c r="B326" s="1"/>
      <c r="D326" s="4"/>
      <c r="E326" s="4"/>
      <c r="F326" s="4"/>
      <c r="G326" s="4"/>
      <c r="H326" s="4"/>
      <c r="I326" s="4"/>
      <c r="J326" s="4"/>
      <c r="K326" s="4"/>
    </row>
    <row r="327" spans="2:11" ht="12.75">
      <c r="B327" s="1"/>
      <c r="D327" s="4"/>
      <c r="E327" s="4"/>
      <c r="F327" s="4"/>
      <c r="G327" s="4"/>
      <c r="H327" s="4"/>
      <c r="I327" s="4"/>
      <c r="J327" s="4"/>
      <c r="K327" s="4"/>
    </row>
    <row r="328" spans="2:11" ht="12.75">
      <c r="B328" s="1"/>
      <c r="D328" s="4"/>
      <c r="E328" s="4"/>
      <c r="F328" s="4"/>
      <c r="G328" s="4"/>
      <c r="H328" s="4"/>
      <c r="I328" s="4"/>
      <c r="J328" s="4"/>
      <c r="K328" s="4"/>
    </row>
    <row r="329" spans="2:11" ht="12.75">
      <c r="B329" s="1"/>
      <c r="D329" s="4"/>
      <c r="E329" s="4"/>
      <c r="F329" s="4"/>
      <c r="G329" s="4"/>
      <c r="H329" s="4"/>
      <c r="I329" s="4"/>
      <c r="J329" s="4"/>
      <c r="K329" s="4"/>
    </row>
    <row r="330" spans="2:11" ht="12.75">
      <c r="B330" s="1"/>
      <c r="D330" s="4"/>
      <c r="E330" s="4"/>
      <c r="F330" s="4"/>
      <c r="G330" s="4"/>
      <c r="H330" s="4"/>
      <c r="I330" s="4"/>
      <c r="J330" s="4"/>
      <c r="K330" s="4"/>
    </row>
    <row r="331" spans="2:11" ht="12.75">
      <c r="B331" s="1"/>
      <c r="D331" s="4"/>
      <c r="E331" s="4"/>
      <c r="F331" s="4"/>
      <c r="G331" s="4"/>
      <c r="H331" s="4"/>
      <c r="I331" s="4"/>
      <c r="J331" s="4"/>
      <c r="K331" s="4"/>
    </row>
    <row r="332" spans="2:11" ht="12.75">
      <c r="B332" s="1"/>
      <c r="D332" s="4"/>
      <c r="E332" s="4"/>
      <c r="F332" s="4"/>
      <c r="G332" s="4"/>
      <c r="H332" s="4"/>
      <c r="I332" s="4"/>
      <c r="J332" s="4"/>
      <c r="K332" s="4"/>
    </row>
    <row r="333" spans="2:11" ht="12.75">
      <c r="B333" s="1"/>
      <c r="D333" s="4"/>
      <c r="E333" s="4"/>
      <c r="F333" s="4"/>
      <c r="G333" s="4"/>
      <c r="H333" s="4"/>
      <c r="I333" s="4"/>
      <c r="J333" s="4"/>
      <c r="K333" s="4"/>
    </row>
    <row r="334" spans="2:11" ht="12.75">
      <c r="B334" s="1"/>
      <c r="D334" s="4"/>
      <c r="E334" s="4"/>
      <c r="F334" s="4"/>
      <c r="G334" s="4"/>
      <c r="H334" s="4"/>
      <c r="I334" s="4"/>
      <c r="J334" s="4"/>
      <c r="K334" s="4"/>
    </row>
    <row r="335" spans="2:11" ht="12.75">
      <c r="B335" s="1"/>
      <c r="D335" s="4"/>
      <c r="E335" s="4"/>
      <c r="F335" s="4"/>
      <c r="G335" s="4"/>
      <c r="H335" s="4"/>
      <c r="I335" s="4"/>
      <c r="J335" s="4"/>
      <c r="K335" s="4"/>
    </row>
    <row r="336" spans="2:11" ht="12.75">
      <c r="B336" s="1"/>
      <c r="D336" s="4"/>
      <c r="E336" s="4"/>
      <c r="F336" s="4"/>
      <c r="G336" s="4"/>
      <c r="H336" s="4"/>
      <c r="I336" s="4"/>
      <c r="J336" s="4"/>
      <c r="K336" s="4"/>
    </row>
    <row r="337" spans="2:11" ht="12.75">
      <c r="B337" s="1"/>
      <c r="D337" s="4"/>
      <c r="E337" s="4"/>
      <c r="F337" s="4"/>
      <c r="G337" s="4"/>
      <c r="H337" s="4"/>
      <c r="I337" s="4"/>
      <c r="J337" s="4"/>
      <c r="K337" s="4"/>
    </row>
    <row r="338" spans="2:11" ht="12.75">
      <c r="B338" s="1"/>
      <c r="D338" s="4"/>
      <c r="E338" s="4"/>
      <c r="F338" s="4"/>
      <c r="G338" s="4"/>
      <c r="H338" s="4"/>
      <c r="I338" s="4"/>
      <c r="J338" s="4"/>
      <c r="K338" s="4"/>
    </row>
    <row r="339" spans="2:11" ht="12.75">
      <c r="B339" s="1"/>
      <c r="D339" s="4"/>
      <c r="E339" s="4"/>
      <c r="F339" s="4"/>
      <c r="G339" s="4"/>
      <c r="H339" s="4"/>
      <c r="I339" s="4"/>
      <c r="J339" s="4"/>
      <c r="K339" s="4"/>
    </row>
    <row r="340" spans="2:11" ht="12.75">
      <c r="B340" s="1"/>
      <c r="D340" s="4"/>
      <c r="E340" s="4"/>
      <c r="F340" s="4"/>
      <c r="G340" s="4"/>
      <c r="H340" s="4"/>
      <c r="I340" s="4"/>
      <c r="J340" s="4"/>
      <c r="K340" s="4"/>
    </row>
    <row r="341" spans="2:11" ht="12.75">
      <c r="B341" s="1"/>
      <c r="D341" s="4"/>
      <c r="E341" s="4"/>
      <c r="F341" s="4"/>
      <c r="G341" s="4"/>
      <c r="H341" s="4"/>
      <c r="I341" s="4"/>
      <c r="J341" s="4"/>
      <c r="K341" s="4"/>
    </row>
    <row r="342" spans="2:11" ht="12.75">
      <c r="B342" s="1"/>
      <c r="D342" s="4"/>
      <c r="E342" s="4"/>
      <c r="F342" s="4"/>
      <c r="G342" s="4"/>
      <c r="H342" s="4"/>
      <c r="I342" s="4"/>
      <c r="J342" s="4"/>
      <c r="K342" s="4"/>
    </row>
    <row r="343" spans="2:11" ht="12.75">
      <c r="B343" s="1"/>
      <c r="D343" s="4"/>
      <c r="E343" s="4"/>
      <c r="F343" s="4"/>
      <c r="G343" s="4"/>
      <c r="H343" s="4"/>
      <c r="I343" s="4"/>
      <c r="J343" s="4"/>
      <c r="K343" s="4"/>
    </row>
    <row r="344" spans="2:11" ht="12.75">
      <c r="B344" s="1"/>
      <c r="D344" s="4"/>
      <c r="E344" s="4"/>
      <c r="F344" s="4"/>
      <c r="G344" s="4"/>
      <c r="H344" s="4"/>
      <c r="I344" s="4"/>
      <c r="J344" s="4"/>
      <c r="K344" s="4"/>
    </row>
    <row r="345" spans="2:11" ht="12.75">
      <c r="B345" s="1"/>
      <c r="D345" s="4"/>
      <c r="E345" s="4"/>
      <c r="F345" s="4"/>
      <c r="G345" s="4"/>
      <c r="H345" s="4"/>
      <c r="I345" s="4"/>
      <c r="J345" s="4"/>
      <c r="K345" s="4"/>
    </row>
    <row r="346" spans="2:11" ht="12.75">
      <c r="B346" s="1"/>
      <c r="D346" s="4"/>
      <c r="E346" s="4"/>
      <c r="F346" s="4"/>
      <c r="G346" s="4"/>
      <c r="H346" s="4"/>
      <c r="I346" s="4"/>
      <c r="J346" s="4"/>
      <c r="K346" s="4"/>
    </row>
    <row r="347" spans="2:11" ht="12.75">
      <c r="B347" s="1"/>
      <c r="D347" s="4"/>
      <c r="E347" s="4"/>
      <c r="F347" s="4"/>
      <c r="G347" s="4"/>
      <c r="H347" s="4"/>
      <c r="I347" s="4"/>
      <c r="J347" s="4"/>
      <c r="K347" s="4"/>
    </row>
    <row r="348" spans="2:11" ht="12.75">
      <c r="B348" s="1"/>
      <c r="D348" s="4"/>
      <c r="E348" s="4"/>
      <c r="F348" s="4"/>
      <c r="G348" s="4"/>
      <c r="H348" s="4"/>
      <c r="I348" s="4"/>
      <c r="J348" s="4"/>
      <c r="K348" s="4"/>
    </row>
    <row r="349" spans="2:11" ht="12.75">
      <c r="B349" s="1"/>
      <c r="D349" s="4"/>
      <c r="E349" s="4"/>
      <c r="F349" s="4"/>
      <c r="G349" s="4"/>
      <c r="H349" s="4"/>
      <c r="I349" s="4"/>
      <c r="J349" s="4"/>
      <c r="K349" s="4"/>
    </row>
    <row r="350" spans="2:11" ht="12.75">
      <c r="B350" s="1"/>
      <c r="D350" s="4"/>
      <c r="E350" s="4"/>
      <c r="F350" s="4"/>
      <c r="G350" s="4"/>
      <c r="H350" s="4"/>
      <c r="I350" s="4"/>
      <c r="J350" s="4"/>
      <c r="K350" s="4"/>
    </row>
    <row r="351" spans="2:11" ht="12.75">
      <c r="B351" s="1"/>
      <c r="D351" s="4"/>
      <c r="E351" s="4"/>
      <c r="F351" s="4"/>
      <c r="G351" s="4"/>
      <c r="H351" s="4"/>
      <c r="I351" s="4"/>
      <c r="J351" s="4"/>
      <c r="K351" s="4"/>
    </row>
    <row r="352" spans="2:11" ht="12.75">
      <c r="B352" s="1"/>
      <c r="D352" s="4"/>
      <c r="E352" s="4"/>
      <c r="F352" s="4"/>
      <c r="G352" s="4"/>
      <c r="H352" s="4"/>
      <c r="I352" s="4"/>
      <c r="J352" s="4"/>
      <c r="K352" s="4"/>
    </row>
    <row r="353" spans="2:11" ht="12.75">
      <c r="B353" s="1"/>
      <c r="D353" s="4"/>
      <c r="E353" s="4"/>
      <c r="F353" s="4"/>
      <c r="G353" s="4"/>
      <c r="H353" s="4"/>
      <c r="I353" s="4"/>
      <c r="J353" s="4"/>
      <c r="K353" s="4"/>
    </row>
    <row r="354" spans="2:11" ht="12.75">
      <c r="B354" s="1"/>
      <c r="D354" s="4"/>
      <c r="E354" s="4"/>
      <c r="F354" s="4"/>
      <c r="G354" s="4"/>
      <c r="H354" s="4"/>
      <c r="I354" s="4"/>
      <c r="J354" s="4"/>
      <c r="K354" s="4"/>
    </row>
    <row r="355" spans="2:11" ht="12.75">
      <c r="B355" s="1"/>
      <c r="D355" s="4"/>
      <c r="E355" s="4"/>
      <c r="F355" s="4"/>
      <c r="G355" s="4"/>
      <c r="H355" s="4"/>
      <c r="I355" s="4"/>
      <c r="J355" s="4"/>
      <c r="K355" s="4"/>
    </row>
    <row r="356" spans="2:11" ht="12.75">
      <c r="B356" s="1"/>
      <c r="D356" s="4"/>
      <c r="E356" s="4"/>
      <c r="F356" s="4"/>
      <c r="G356" s="4"/>
      <c r="H356" s="4"/>
      <c r="I356" s="4"/>
      <c r="J356" s="4"/>
      <c r="K356" s="4"/>
    </row>
    <row r="357" spans="2:11" ht="12.75">
      <c r="B357" s="1"/>
      <c r="D357" s="4"/>
      <c r="E357" s="4"/>
      <c r="F357" s="4"/>
      <c r="G357" s="4"/>
      <c r="H357" s="4"/>
      <c r="I357" s="4"/>
      <c r="J357" s="4"/>
      <c r="K357" s="4"/>
    </row>
    <row r="358" spans="2:11" ht="12.75">
      <c r="B358" s="1"/>
      <c r="D358" s="4"/>
      <c r="E358" s="4"/>
      <c r="F358" s="4"/>
      <c r="G358" s="4"/>
      <c r="H358" s="4"/>
      <c r="I358" s="4"/>
      <c r="J358" s="4"/>
      <c r="K358" s="4"/>
    </row>
    <row r="359" spans="2:11" ht="12.75">
      <c r="B359" s="1"/>
      <c r="D359" s="4"/>
      <c r="E359" s="4"/>
      <c r="F359" s="4"/>
      <c r="G359" s="4"/>
      <c r="H359" s="4"/>
      <c r="I359" s="4"/>
      <c r="J359" s="4"/>
      <c r="K359" s="4"/>
    </row>
    <row r="360" spans="2:11" ht="12.75">
      <c r="B360" s="1"/>
      <c r="D360" s="4"/>
      <c r="E360" s="4"/>
      <c r="F360" s="4"/>
      <c r="G360" s="4"/>
      <c r="H360" s="4"/>
      <c r="I360" s="4"/>
      <c r="J360" s="4"/>
      <c r="K360" s="4"/>
    </row>
    <row r="361" spans="2:11" ht="12.75">
      <c r="B361" s="1"/>
      <c r="D361" s="4"/>
      <c r="E361" s="4"/>
      <c r="F361" s="4"/>
      <c r="G361" s="4"/>
      <c r="H361" s="4"/>
      <c r="I361" s="4"/>
      <c r="J361" s="4"/>
      <c r="K361" s="4"/>
    </row>
    <row r="362" spans="2:11" ht="12.75">
      <c r="B362" s="1"/>
      <c r="D362" s="4"/>
      <c r="E362" s="4"/>
      <c r="F362" s="4"/>
      <c r="G362" s="4"/>
      <c r="H362" s="4"/>
      <c r="I362" s="4"/>
      <c r="J362" s="4"/>
      <c r="K362" s="4"/>
    </row>
    <row r="363" spans="2:11" ht="12.75">
      <c r="B363" s="1"/>
      <c r="D363" s="4"/>
      <c r="E363" s="4"/>
      <c r="F363" s="4"/>
      <c r="G363" s="4"/>
      <c r="H363" s="4"/>
      <c r="I363" s="4"/>
      <c r="J363" s="4"/>
      <c r="K363" s="4"/>
    </row>
    <row r="364" spans="2:11" ht="12.75">
      <c r="B364" s="1"/>
      <c r="D364" s="4"/>
      <c r="E364" s="4"/>
      <c r="F364" s="4"/>
      <c r="G364" s="4"/>
      <c r="H364" s="4"/>
      <c r="I364" s="4"/>
      <c r="J364" s="4"/>
      <c r="K364" s="4"/>
    </row>
    <row r="365" spans="2:11" ht="12.75">
      <c r="B365" s="1"/>
      <c r="D365" s="4"/>
      <c r="E365" s="4"/>
      <c r="F365" s="4"/>
      <c r="G365" s="4"/>
      <c r="H365" s="4"/>
      <c r="I365" s="4"/>
      <c r="J365" s="4"/>
      <c r="K365" s="4"/>
    </row>
    <row r="366" spans="2:11" ht="12.75">
      <c r="B366" s="1"/>
      <c r="D366" s="4"/>
      <c r="E366" s="4"/>
      <c r="F366" s="4"/>
      <c r="G366" s="4"/>
      <c r="H366" s="4"/>
      <c r="I366" s="4"/>
      <c r="J366" s="4"/>
      <c r="K366" s="4"/>
    </row>
    <row r="367" spans="2:11" ht="12.75">
      <c r="B367" s="1"/>
      <c r="D367" s="4"/>
      <c r="E367" s="4"/>
      <c r="F367" s="4"/>
      <c r="G367" s="4"/>
      <c r="H367" s="4"/>
      <c r="I367" s="4"/>
      <c r="J367" s="4"/>
      <c r="K367" s="4"/>
    </row>
    <row r="368" spans="2:11" ht="12.75">
      <c r="B368" s="1"/>
      <c r="D368" s="4"/>
      <c r="E368" s="4"/>
      <c r="F368" s="4"/>
      <c r="G368" s="4"/>
      <c r="H368" s="4"/>
      <c r="I368" s="4"/>
      <c r="J368" s="4"/>
      <c r="K368" s="4"/>
    </row>
    <row r="369" spans="2:11" ht="12.75">
      <c r="B369" s="1"/>
      <c r="D369" s="4"/>
      <c r="E369" s="4"/>
      <c r="F369" s="4"/>
      <c r="G369" s="4"/>
      <c r="H369" s="4"/>
      <c r="I369" s="4"/>
      <c r="J369" s="4"/>
      <c r="K369" s="4"/>
    </row>
    <row r="370" spans="2:11" ht="12.75">
      <c r="B370" s="1"/>
      <c r="D370" s="4"/>
      <c r="E370" s="4"/>
      <c r="F370" s="4"/>
      <c r="G370" s="4"/>
      <c r="H370" s="4"/>
      <c r="I370" s="4"/>
      <c r="J370" s="4"/>
      <c r="K370" s="4"/>
    </row>
    <row r="371" spans="2:11" ht="12.75">
      <c r="B371" s="1"/>
      <c r="D371" s="4"/>
      <c r="E371" s="4"/>
      <c r="F371" s="4"/>
      <c r="G371" s="4"/>
      <c r="H371" s="4"/>
      <c r="I371" s="4"/>
      <c r="J371" s="4"/>
      <c r="K371" s="4"/>
    </row>
    <row r="372" spans="2:11" ht="12.75">
      <c r="B372" s="1"/>
      <c r="D372" s="4"/>
      <c r="E372" s="4"/>
      <c r="F372" s="4"/>
      <c r="G372" s="4"/>
      <c r="H372" s="4"/>
      <c r="I372" s="4"/>
      <c r="J372" s="4"/>
      <c r="K372" s="4"/>
    </row>
    <row r="373" spans="2:11" ht="12.75">
      <c r="B373" s="1"/>
      <c r="D373" s="4"/>
      <c r="E373" s="4"/>
      <c r="F373" s="4"/>
      <c r="G373" s="4"/>
      <c r="H373" s="4"/>
      <c r="I373" s="4"/>
      <c r="J373" s="4"/>
      <c r="K373" s="4"/>
    </row>
    <row r="374" spans="2:11" ht="12.75">
      <c r="B374" s="1"/>
      <c r="D374" s="4"/>
      <c r="E374" s="4"/>
      <c r="F374" s="4"/>
      <c r="G374" s="4"/>
      <c r="H374" s="4"/>
      <c r="I374" s="4"/>
      <c r="J374" s="4"/>
      <c r="K374" s="4"/>
    </row>
    <row r="375" spans="2:11" ht="12.75">
      <c r="B375" s="1"/>
      <c r="D375" s="4"/>
      <c r="E375" s="4"/>
      <c r="F375" s="4"/>
      <c r="G375" s="4"/>
      <c r="H375" s="4"/>
      <c r="I375" s="4"/>
      <c r="J375" s="4"/>
      <c r="K375" s="4"/>
    </row>
    <row r="376" spans="2:11" ht="12.75">
      <c r="B376" s="1"/>
      <c r="D376" s="4"/>
      <c r="E376" s="4"/>
      <c r="F376" s="4"/>
      <c r="G376" s="4"/>
      <c r="H376" s="4"/>
      <c r="I376" s="4"/>
      <c r="J376" s="4"/>
      <c r="K376" s="4"/>
    </row>
    <row r="377" spans="2:11" ht="12.75">
      <c r="B377" s="1"/>
      <c r="D377" s="4"/>
      <c r="E377" s="4"/>
      <c r="F377" s="4"/>
      <c r="G377" s="4"/>
      <c r="H377" s="4"/>
      <c r="I377" s="4"/>
      <c r="J377" s="4"/>
      <c r="K377" s="4"/>
    </row>
    <row r="378" spans="2:11" ht="12.75">
      <c r="B378" s="1"/>
      <c r="D378" s="4"/>
      <c r="E378" s="4"/>
      <c r="F378" s="4"/>
      <c r="G378" s="4"/>
      <c r="H378" s="4"/>
      <c r="I378" s="4"/>
      <c r="J378" s="4"/>
      <c r="K378" s="4"/>
    </row>
    <row r="379" spans="2:11" ht="12.75">
      <c r="B379" s="1"/>
      <c r="D379" s="4"/>
      <c r="E379" s="4"/>
      <c r="F379" s="4"/>
      <c r="G379" s="4"/>
      <c r="H379" s="4"/>
      <c r="I379" s="4"/>
      <c r="J379" s="4"/>
      <c r="K379" s="4"/>
    </row>
    <row r="380" spans="2:11" ht="12.75">
      <c r="B380" s="1"/>
      <c r="D380" s="4"/>
      <c r="E380" s="4"/>
      <c r="F380" s="4"/>
      <c r="G380" s="4"/>
      <c r="H380" s="4"/>
      <c r="I380" s="4"/>
      <c r="J380" s="4"/>
      <c r="K380" s="4"/>
    </row>
    <row r="381" spans="2:11" ht="12.75">
      <c r="B381" s="1"/>
      <c r="D381" s="4"/>
      <c r="E381" s="4"/>
      <c r="F381" s="4"/>
      <c r="G381" s="4"/>
      <c r="H381" s="4"/>
      <c r="I381" s="4"/>
      <c r="J381" s="4"/>
      <c r="K381" s="4"/>
    </row>
    <row r="382" spans="2:11" ht="12.75">
      <c r="B382" s="1"/>
      <c r="D382" s="4"/>
      <c r="E382" s="4"/>
      <c r="F382" s="4"/>
      <c r="G382" s="4"/>
      <c r="H382" s="4"/>
      <c r="I382" s="4"/>
      <c r="J382" s="4"/>
      <c r="K382" s="4"/>
    </row>
    <row r="383" spans="2:11" ht="12.75">
      <c r="B383" s="1"/>
      <c r="D383" s="4"/>
      <c r="E383" s="4"/>
      <c r="F383" s="4"/>
      <c r="G383" s="4"/>
      <c r="H383" s="4"/>
      <c r="I383" s="4"/>
      <c r="J383" s="4"/>
      <c r="K383" s="4"/>
    </row>
    <row r="384" spans="2:11" ht="12.75">
      <c r="B384" s="1"/>
      <c r="D384" s="4"/>
      <c r="E384" s="4"/>
      <c r="F384" s="4"/>
      <c r="G384" s="4"/>
      <c r="H384" s="4"/>
      <c r="I384" s="4"/>
      <c r="J384" s="4"/>
      <c r="K384" s="4"/>
    </row>
    <row r="385" spans="2:11" ht="12.75">
      <c r="B385" s="1"/>
      <c r="D385" s="4"/>
      <c r="E385" s="4"/>
      <c r="F385" s="4"/>
      <c r="G385" s="4"/>
      <c r="H385" s="4"/>
      <c r="I385" s="4"/>
      <c r="J385" s="4"/>
      <c r="K385" s="4"/>
    </row>
    <row r="386" spans="2:11" ht="12.75">
      <c r="B386" s="1"/>
      <c r="D386" s="4"/>
      <c r="E386" s="4"/>
      <c r="F386" s="4"/>
      <c r="G386" s="4"/>
      <c r="H386" s="4"/>
      <c r="I386" s="4"/>
      <c r="J386" s="4"/>
      <c r="K386" s="4"/>
    </row>
    <row r="387" spans="2:11" ht="12.75">
      <c r="B387" s="1"/>
      <c r="D387" s="4"/>
      <c r="E387" s="4"/>
      <c r="F387" s="4"/>
      <c r="G387" s="4"/>
      <c r="H387" s="4"/>
      <c r="I387" s="4"/>
      <c r="J387" s="4"/>
      <c r="K387" s="4"/>
    </row>
    <row r="388" spans="2:11" ht="12.75">
      <c r="B388" s="1"/>
      <c r="D388" s="4"/>
      <c r="E388" s="4"/>
      <c r="F388" s="4"/>
      <c r="G388" s="4"/>
      <c r="H388" s="4"/>
      <c r="I388" s="4"/>
      <c r="J388" s="4"/>
      <c r="K388" s="4"/>
    </row>
    <row r="389" spans="2:11" ht="12.75">
      <c r="B389" s="1"/>
      <c r="D389" s="4"/>
      <c r="E389" s="4"/>
      <c r="F389" s="4"/>
      <c r="G389" s="4"/>
      <c r="H389" s="4"/>
      <c r="I389" s="4"/>
      <c r="J389" s="4"/>
      <c r="K389" s="4"/>
    </row>
    <row r="390" spans="2:11" ht="12.75">
      <c r="B390" s="1"/>
      <c r="D390" s="4"/>
      <c r="E390" s="4"/>
      <c r="F390" s="4"/>
      <c r="G390" s="4"/>
      <c r="H390" s="4"/>
      <c r="I390" s="4"/>
      <c r="J390" s="4"/>
      <c r="K390" s="4"/>
    </row>
    <row r="391" spans="2:11" ht="12.75">
      <c r="B391" s="1"/>
      <c r="D391" s="4"/>
      <c r="E391" s="4"/>
      <c r="F391" s="4"/>
      <c r="G391" s="4"/>
      <c r="H391" s="4"/>
      <c r="I391" s="4"/>
      <c r="J391" s="4"/>
      <c r="K391" s="4"/>
    </row>
    <row r="392" spans="2:11" ht="12.75">
      <c r="B392" s="1"/>
      <c r="D392" s="4"/>
      <c r="E392" s="4"/>
      <c r="F392" s="4"/>
      <c r="G392" s="4"/>
      <c r="H392" s="4"/>
      <c r="I392" s="4"/>
      <c r="J392" s="4"/>
      <c r="K392" s="4"/>
    </row>
    <row r="393" spans="2:11" ht="12.75">
      <c r="B393" s="1"/>
      <c r="D393" s="4"/>
      <c r="E393" s="4"/>
      <c r="F393" s="4"/>
      <c r="G393" s="4"/>
      <c r="H393" s="4"/>
      <c r="I393" s="4"/>
      <c r="J393" s="4"/>
      <c r="K393" s="4"/>
    </row>
    <row r="394" spans="2:11" ht="12.75">
      <c r="B394" s="1"/>
      <c r="D394" s="4"/>
      <c r="E394" s="4"/>
      <c r="F394" s="4"/>
      <c r="G394" s="4"/>
      <c r="H394" s="4"/>
      <c r="I394" s="4"/>
      <c r="J394" s="4"/>
      <c r="K394" s="4"/>
    </row>
    <row r="395" spans="2:11" ht="12.75">
      <c r="B395" s="1"/>
      <c r="D395" s="4"/>
      <c r="E395" s="4"/>
      <c r="F395" s="4"/>
      <c r="G395" s="4"/>
      <c r="H395" s="4"/>
      <c r="I395" s="4"/>
      <c r="J395" s="4"/>
      <c r="K395" s="4"/>
    </row>
    <row r="396" spans="2:11" ht="12.75">
      <c r="B396" s="1"/>
      <c r="D396" s="4"/>
      <c r="E396" s="4"/>
      <c r="F396" s="4"/>
      <c r="G396" s="4"/>
      <c r="H396" s="4"/>
      <c r="I396" s="4"/>
      <c r="J396" s="4"/>
      <c r="K396" s="4"/>
    </row>
    <row r="397" spans="2:11" ht="12.75">
      <c r="B397" s="1"/>
      <c r="D397" s="4"/>
      <c r="E397" s="4"/>
      <c r="F397" s="4"/>
      <c r="G397" s="4"/>
      <c r="H397" s="4"/>
      <c r="I397" s="4"/>
      <c r="J397" s="4"/>
      <c r="K397" s="4"/>
    </row>
    <row r="398" spans="2:11" ht="12.75">
      <c r="B398" s="1"/>
      <c r="D398" s="4"/>
      <c r="E398" s="4"/>
      <c r="F398" s="4"/>
      <c r="G398" s="4"/>
      <c r="H398" s="4"/>
      <c r="I398" s="4"/>
      <c r="J398" s="4"/>
      <c r="K398" s="4"/>
    </row>
    <row r="399" spans="2:11" ht="12.75">
      <c r="B399" s="1"/>
      <c r="D399" s="4"/>
      <c r="E399" s="4"/>
      <c r="F399" s="4"/>
      <c r="G399" s="4"/>
      <c r="H399" s="4"/>
      <c r="I399" s="4"/>
      <c r="J399" s="4"/>
      <c r="K399" s="4"/>
    </row>
    <row r="400" spans="2:11" ht="12.75">
      <c r="B400" s="1"/>
      <c r="D400" s="4"/>
      <c r="E400" s="4"/>
      <c r="F400" s="4"/>
      <c r="G400" s="4"/>
      <c r="H400" s="4"/>
      <c r="I400" s="4"/>
      <c r="J400" s="4"/>
      <c r="K400" s="4"/>
    </row>
    <row r="401" spans="2:11" ht="12.75">
      <c r="B401" s="1"/>
      <c r="D401" s="4"/>
      <c r="E401" s="4"/>
      <c r="F401" s="4"/>
      <c r="G401" s="4"/>
      <c r="H401" s="4"/>
      <c r="I401" s="4"/>
      <c r="J401" s="4"/>
      <c r="K401" s="4"/>
    </row>
    <row r="402" spans="2:11" ht="12.75">
      <c r="B402" s="1"/>
      <c r="D402" s="4"/>
      <c r="E402" s="4"/>
      <c r="F402" s="4"/>
      <c r="G402" s="4"/>
      <c r="H402" s="4"/>
      <c r="I402" s="4"/>
      <c r="J402" s="4"/>
      <c r="K402" s="4"/>
    </row>
    <row r="403" spans="2:11" ht="12.75">
      <c r="B403" s="1"/>
      <c r="D403" s="4"/>
      <c r="E403" s="4"/>
      <c r="F403" s="4"/>
      <c r="G403" s="4"/>
      <c r="H403" s="4"/>
      <c r="I403" s="4"/>
      <c r="J403" s="4"/>
      <c r="K403" s="4"/>
    </row>
    <row r="404" spans="2:11" ht="12.75">
      <c r="B404" s="1"/>
      <c r="D404" s="4"/>
      <c r="E404" s="4"/>
      <c r="F404" s="4"/>
      <c r="G404" s="4"/>
      <c r="H404" s="4"/>
      <c r="I404" s="4"/>
      <c r="J404" s="4"/>
      <c r="K404" s="4"/>
    </row>
    <row r="405" spans="2:11" ht="12.75">
      <c r="B405" s="1"/>
      <c r="D405" s="4"/>
      <c r="E405" s="4"/>
      <c r="F405" s="4"/>
      <c r="G405" s="4"/>
      <c r="H405" s="4"/>
      <c r="I405" s="4"/>
      <c r="J405" s="4"/>
      <c r="K405" s="4"/>
    </row>
    <row r="406" spans="2:11" ht="12.75">
      <c r="B406" s="1"/>
      <c r="D406" s="4"/>
      <c r="E406" s="4"/>
      <c r="F406" s="4"/>
      <c r="G406" s="4"/>
      <c r="H406" s="4"/>
      <c r="I406" s="4"/>
      <c r="J406" s="4"/>
      <c r="K406" s="4"/>
    </row>
    <row r="407" spans="2:11" ht="12.75">
      <c r="B407" s="1"/>
      <c r="D407" s="4"/>
      <c r="E407" s="4"/>
      <c r="F407" s="4"/>
      <c r="G407" s="4"/>
      <c r="H407" s="4"/>
      <c r="I407" s="4"/>
      <c r="J407" s="4"/>
      <c r="K407" s="4"/>
    </row>
    <row r="408" spans="2:11" ht="12.75">
      <c r="B408" s="1"/>
      <c r="D408" s="4"/>
      <c r="E408" s="4"/>
      <c r="F408" s="4"/>
      <c r="G408" s="4"/>
      <c r="H408" s="4"/>
      <c r="I408" s="4"/>
      <c r="J408" s="4"/>
      <c r="K408" s="4"/>
    </row>
    <row r="409" spans="2:11" ht="12.75">
      <c r="B409" s="1"/>
      <c r="D409" s="4"/>
      <c r="E409" s="4"/>
      <c r="F409" s="4"/>
      <c r="G409" s="4"/>
      <c r="H409" s="4"/>
      <c r="I409" s="4"/>
      <c r="J409" s="4"/>
      <c r="K409" s="4"/>
    </row>
    <row r="410" spans="2:11" ht="12.75">
      <c r="B410" s="1"/>
      <c r="D410" s="4"/>
      <c r="E410" s="4"/>
      <c r="F410" s="4"/>
      <c r="G410" s="4"/>
      <c r="H410" s="4"/>
      <c r="I410" s="4"/>
      <c r="J410" s="4"/>
      <c r="K410" s="4"/>
    </row>
    <row r="411" spans="2:11" ht="12.75">
      <c r="B411" s="1"/>
      <c r="D411" s="4"/>
      <c r="E411" s="4"/>
      <c r="F411" s="4"/>
      <c r="G411" s="4"/>
      <c r="H411" s="4"/>
      <c r="I411" s="4"/>
      <c r="J411" s="4"/>
      <c r="K411" s="4"/>
    </row>
    <row r="412" spans="2:11" ht="12.75">
      <c r="B412" s="1"/>
      <c r="D412" s="4"/>
      <c r="E412" s="4"/>
      <c r="F412" s="4"/>
      <c r="G412" s="4"/>
      <c r="H412" s="4"/>
      <c r="I412" s="4"/>
      <c r="J412" s="4"/>
      <c r="K412" s="4"/>
    </row>
    <row r="413" spans="2:11" ht="12.75">
      <c r="B413" s="1"/>
      <c r="D413" s="4"/>
      <c r="E413" s="4"/>
      <c r="F413" s="4"/>
      <c r="G413" s="4"/>
      <c r="H413" s="4"/>
      <c r="I413" s="4"/>
      <c r="J413" s="4"/>
      <c r="K413" s="4"/>
    </row>
    <row r="414" spans="2:11" ht="12.75">
      <c r="B414" s="1"/>
      <c r="D414" s="4"/>
      <c r="E414" s="4"/>
      <c r="F414" s="4"/>
      <c r="G414" s="4"/>
      <c r="H414" s="4"/>
      <c r="I414" s="4"/>
      <c r="J414" s="4"/>
      <c r="K414" s="4"/>
    </row>
    <row r="415" spans="2:11" ht="12.75">
      <c r="B415" s="1"/>
      <c r="D415" s="4"/>
      <c r="E415" s="4"/>
      <c r="F415" s="4"/>
      <c r="G415" s="4"/>
      <c r="H415" s="4"/>
      <c r="I415" s="4"/>
      <c r="J415" s="4"/>
      <c r="K415" s="4"/>
    </row>
    <row r="416" spans="2:11" ht="12.75">
      <c r="B416" s="1"/>
      <c r="D416" s="4"/>
      <c r="E416" s="4"/>
      <c r="F416" s="4"/>
      <c r="G416" s="4"/>
      <c r="H416" s="4"/>
      <c r="I416" s="4"/>
      <c r="J416" s="4"/>
      <c r="K416" s="4"/>
    </row>
    <row r="417" spans="2:11" ht="12.75">
      <c r="B417" s="1"/>
      <c r="D417" s="4"/>
      <c r="E417" s="4"/>
      <c r="F417" s="4"/>
      <c r="G417" s="4"/>
      <c r="H417" s="4"/>
      <c r="I417" s="4"/>
      <c r="J417" s="4"/>
      <c r="K417" s="4"/>
    </row>
    <row r="418" spans="2:11" ht="12.75">
      <c r="B418" s="1"/>
      <c r="D418" s="4"/>
      <c r="E418" s="4"/>
      <c r="F418" s="4"/>
      <c r="G418" s="4"/>
      <c r="H418" s="4"/>
      <c r="I418" s="4"/>
      <c r="J418" s="4"/>
      <c r="K418" s="4"/>
    </row>
    <row r="419" spans="2:11" ht="12.75">
      <c r="B419" s="1"/>
      <c r="D419" s="4"/>
      <c r="E419" s="4"/>
      <c r="F419" s="4"/>
      <c r="G419" s="4"/>
      <c r="H419" s="4"/>
      <c r="I419" s="4"/>
      <c r="J419" s="4"/>
      <c r="K419" s="4"/>
    </row>
    <row r="420" spans="2:11" ht="12.75">
      <c r="B420" s="1"/>
      <c r="D420" s="4"/>
      <c r="E420" s="4"/>
      <c r="F420" s="4"/>
      <c r="G420" s="4"/>
      <c r="H420" s="4"/>
      <c r="I420" s="4"/>
      <c r="J420" s="4"/>
      <c r="K420" s="4"/>
    </row>
    <row r="421" spans="2:11" ht="12.75">
      <c r="B421" s="1"/>
      <c r="D421" s="4"/>
      <c r="E421" s="4"/>
      <c r="F421" s="4"/>
      <c r="G421" s="4"/>
      <c r="H421" s="4"/>
      <c r="I421" s="4"/>
      <c r="J421" s="4"/>
      <c r="K421" s="4"/>
    </row>
    <row r="422" spans="2:11" ht="12.75">
      <c r="B422" s="1"/>
      <c r="D422" s="4"/>
      <c r="E422" s="4"/>
      <c r="F422" s="4"/>
      <c r="G422" s="4"/>
      <c r="H422" s="4"/>
      <c r="I422" s="4"/>
      <c r="J422" s="4"/>
      <c r="K422" s="4"/>
    </row>
    <row r="423" spans="2:11" ht="12.75">
      <c r="B423" s="1"/>
      <c r="D423" s="4"/>
      <c r="E423" s="4"/>
      <c r="F423" s="4"/>
      <c r="G423" s="4"/>
      <c r="H423" s="4"/>
      <c r="I423" s="4"/>
      <c r="J423" s="4"/>
      <c r="K423" s="4"/>
    </row>
    <row r="424" spans="2:11" ht="12.75">
      <c r="B424" s="1"/>
      <c r="D424" s="4"/>
      <c r="E424" s="4"/>
      <c r="F424" s="4"/>
      <c r="G424" s="4"/>
      <c r="H424" s="4"/>
      <c r="I424" s="4"/>
      <c r="J424" s="4"/>
      <c r="K424" s="4"/>
    </row>
    <row r="425" spans="2:11" ht="12.75">
      <c r="B425" s="1"/>
      <c r="D425" s="4"/>
      <c r="E425" s="4"/>
      <c r="F425" s="4"/>
      <c r="G425" s="4"/>
      <c r="H425" s="4"/>
      <c r="I425" s="4"/>
      <c r="J425" s="4"/>
      <c r="K425" s="4"/>
    </row>
    <row r="426" spans="2:11" ht="12.75">
      <c r="B426" s="1"/>
      <c r="D426" s="4"/>
      <c r="E426" s="4"/>
      <c r="F426" s="4"/>
      <c r="G426" s="4"/>
      <c r="H426" s="4"/>
      <c r="I426" s="4"/>
      <c r="J426" s="4"/>
      <c r="K426" s="4"/>
    </row>
    <row r="427" spans="2:11" ht="12.75">
      <c r="B427" s="1"/>
      <c r="D427" s="4"/>
      <c r="E427" s="4"/>
      <c r="F427" s="4"/>
      <c r="G427" s="4"/>
      <c r="H427" s="4"/>
      <c r="I427" s="4"/>
      <c r="J427" s="4"/>
      <c r="K427" s="4"/>
    </row>
    <row r="428" spans="2:11" ht="12.75">
      <c r="B428" s="1"/>
      <c r="D428" s="4"/>
      <c r="E428" s="4"/>
      <c r="F428" s="4"/>
      <c r="G428" s="4"/>
      <c r="H428" s="4"/>
      <c r="I428" s="4"/>
      <c r="J428" s="4"/>
      <c r="K428" s="4"/>
    </row>
    <row r="429" spans="2:11" ht="12.75">
      <c r="B429" s="1"/>
      <c r="D429" s="4"/>
      <c r="E429" s="4"/>
      <c r="F429" s="4"/>
      <c r="G429" s="4"/>
      <c r="H429" s="4"/>
      <c r="I429" s="4"/>
      <c r="J429" s="4"/>
      <c r="K429" s="4"/>
    </row>
    <row r="430" spans="2:11" ht="12.75">
      <c r="B430" s="1"/>
      <c r="D430" s="4"/>
      <c r="E430" s="4"/>
      <c r="F430" s="4"/>
      <c r="G430" s="4"/>
      <c r="H430" s="4"/>
      <c r="I430" s="4"/>
      <c r="J430" s="4"/>
      <c r="K430" s="4"/>
    </row>
    <row r="431" spans="2:11" ht="12.75">
      <c r="B431" s="1"/>
      <c r="D431" s="4"/>
      <c r="E431" s="4"/>
      <c r="F431" s="4"/>
      <c r="G431" s="4"/>
      <c r="H431" s="4"/>
      <c r="I431" s="4"/>
      <c r="J431" s="4"/>
      <c r="K431" s="4"/>
    </row>
    <row r="432" spans="2:11" ht="12.75">
      <c r="B432" s="1"/>
      <c r="D432" s="4"/>
      <c r="E432" s="4"/>
      <c r="F432" s="4"/>
      <c r="G432" s="4"/>
      <c r="H432" s="4"/>
      <c r="I432" s="4"/>
      <c r="J432" s="4"/>
      <c r="K432" s="4"/>
    </row>
    <row r="433" spans="2:11" ht="12.75">
      <c r="B433" s="1"/>
      <c r="D433" s="4"/>
      <c r="E433" s="4"/>
      <c r="F433" s="4"/>
      <c r="G433" s="4"/>
      <c r="H433" s="4"/>
      <c r="I433" s="4"/>
      <c r="J433" s="4"/>
      <c r="K433" s="4"/>
    </row>
    <row r="434" spans="2:11" ht="12.75">
      <c r="B434" s="1"/>
      <c r="D434" s="4"/>
      <c r="E434" s="4"/>
      <c r="F434" s="4"/>
      <c r="G434" s="4"/>
      <c r="H434" s="4"/>
      <c r="I434" s="4"/>
      <c r="J434" s="4"/>
      <c r="K434" s="4"/>
    </row>
    <row r="435" spans="2:11" ht="12.75">
      <c r="B435" s="1"/>
      <c r="D435" s="4"/>
      <c r="E435" s="4"/>
      <c r="F435" s="4"/>
      <c r="G435" s="4"/>
      <c r="H435" s="4"/>
      <c r="I435" s="4"/>
      <c r="J435" s="4"/>
      <c r="K435" s="4"/>
    </row>
    <row r="436" spans="2:11" ht="12.75">
      <c r="B436" s="1"/>
      <c r="D436" s="4"/>
      <c r="E436" s="4"/>
      <c r="F436" s="4"/>
      <c r="G436" s="4"/>
      <c r="H436" s="4"/>
      <c r="I436" s="4"/>
      <c r="J436" s="4"/>
      <c r="K436" s="4"/>
    </row>
    <row r="437" spans="2:11" ht="12.75">
      <c r="B437" s="1"/>
      <c r="D437" s="4"/>
      <c r="E437" s="4"/>
      <c r="F437" s="4"/>
      <c r="G437" s="4"/>
      <c r="H437" s="4"/>
      <c r="I437" s="4"/>
      <c r="J437" s="4"/>
      <c r="K437" s="4"/>
    </row>
    <row r="438" spans="2:11" ht="12.75">
      <c r="B438" s="1"/>
      <c r="D438" s="4"/>
      <c r="E438" s="4"/>
      <c r="F438" s="4"/>
      <c r="G438" s="4"/>
      <c r="H438" s="4"/>
      <c r="I438" s="4"/>
      <c r="J438" s="4"/>
      <c r="K438" s="4"/>
    </row>
    <row r="439" spans="2:11" ht="12.75">
      <c r="B439" s="1"/>
      <c r="D439" s="4"/>
      <c r="E439" s="4"/>
      <c r="F439" s="4"/>
      <c r="G439" s="4"/>
      <c r="H439" s="4"/>
      <c r="I439" s="4"/>
      <c r="J439" s="4"/>
      <c r="K439" s="4"/>
    </row>
    <row r="440" spans="2:11" ht="12.75">
      <c r="B440" s="1"/>
      <c r="D440" s="4"/>
      <c r="E440" s="4"/>
      <c r="F440" s="4"/>
      <c r="G440" s="4"/>
      <c r="H440" s="4"/>
      <c r="I440" s="4"/>
      <c r="J440" s="4"/>
      <c r="K440" s="4"/>
    </row>
    <row r="441" spans="2:11" ht="12.75">
      <c r="B441" s="1"/>
      <c r="D441" s="4"/>
      <c r="E441" s="4"/>
      <c r="F441" s="4"/>
      <c r="G441" s="4"/>
      <c r="H441" s="4"/>
      <c r="I441" s="4"/>
      <c r="J441" s="4"/>
      <c r="K441" s="4"/>
    </row>
    <row r="442" spans="2:11" ht="12.75">
      <c r="B442" s="1"/>
      <c r="D442" s="4"/>
      <c r="E442" s="4"/>
      <c r="F442" s="4"/>
      <c r="G442" s="4"/>
      <c r="H442" s="4"/>
      <c r="I442" s="4"/>
      <c r="J442" s="4"/>
      <c r="K442" s="4"/>
    </row>
    <row r="443" spans="2:11" ht="12.75">
      <c r="B443" s="1"/>
      <c r="D443" s="4"/>
      <c r="E443" s="4"/>
      <c r="F443" s="4"/>
      <c r="G443" s="4"/>
      <c r="H443" s="4"/>
      <c r="I443" s="4"/>
      <c r="J443" s="4"/>
      <c r="K443" s="4"/>
    </row>
    <row r="444" spans="2:11" ht="12.75">
      <c r="B444" s="1"/>
      <c r="D444" s="4"/>
      <c r="E444" s="4"/>
      <c r="F444" s="4"/>
      <c r="G444" s="4"/>
      <c r="H444" s="4"/>
      <c r="I444" s="4"/>
      <c r="J444" s="4"/>
      <c r="K444" s="4"/>
    </row>
    <row r="445" spans="2:11" ht="12.75">
      <c r="B445" s="1"/>
      <c r="D445" s="4"/>
      <c r="E445" s="4"/>
      <c r="F445" s="4"/>
      <c r="G445" s="4"/>
      <c r="H445" s="4"/>
      <c r="I445" s="4"/>
      <c r="J445" s="4"/>
      <c r="K445" s="4"/>
    </row>
    <row r="446" spans="2:11" ht="12.75">
      <c r="B446" s="1"/>
      <c r="D446" s="4"/>
      <c r="E446" s="4"/>
      <c r="F446" s="4"/>
      <c r="G446" s="4"/>
      <c r="H446" s="4"/>
      <c r="I446" s="4"/>
      <c r="J446" s="4"/>
      <c r="K446" s="4"/>
    </row>
    <row r="447" spans="2:11" ht="12.75">
      <c r="B447" s="1"/>
      <c r="D447" s="4"/>
      <c r="E447" s="4"/>
      <c r="F447" s="4"/>
      <c r="G447" s="4"/>
      <c r="H447" s="4"/>
      <c r="I447" s="4"/>
      <c r="J447" s="4"/>
      <c r="K447" s="4"/>
    </row>
    <row r="448" spans="2:11" ht="12.75">
      <c r="B448" s="1"/>
      <c r="D448" s="4"/>
      <c r="E448" s="4"/>
      <c r="F448" s="4"/>
      <c r="G448" s="4"/>
      <c r="H448" s="4"/>
      <c r="I448" s="4"/>
      <c r="J448" s="4"/>
      <c r="K448" s="4"/>
    </row>
    <row r="449" spans="2:11" ht="12.75">
      <c r="B449" s="1"/>
      <c r="D449" s="4"/>
      <c r="E449" s="4"/>
      <c r="F449" s="4"/>
      <c r="G449" s="4"/>
      <c r="H449" s="4"/>
      <c r="I449" s="4"/>
      <c r="J449" s="4"/>
      <c r="K449" s="4"/>
    </row>
    <row r="450" spans="2:11" ht="12.75">
      <c r="B450" s="1"/>
      <c r="D450" s="4"/>
      <c r="E450" s="4"/>
      <c r="F450" s="4"/>
      <c r="G450" s="4"/>
      <c r="H450" s="4"/>
      <c r="I450" s="4"/>
      <c r="J450" s="4"/>
      <c r="K450" s="4"/>
    </row>
    <row r="451" spans="2:11" ht="12.75">
      <c r="B451" s="1"/>
      <c r="D451" s="4"/>
      <c r="E451" s="4"/>
      <c r="F451" s="4"/>
      <c r="G451" s="4"/>
      <c r="H451" s="4"/>
      <c r="I451" s="4"/>
      <c r="J451" s="4"/>
      <c r="K451" s="4"/>
    </row>
    <row r="452" spans="2:11" ht="12.75">
      <c r="B452" s="1"/>
      <c r="D452" s="4"/>
      <c r="E452" s="4"/>
      <c r="F452" s="4"/>
      <c r="G452" s="4"/>
      <c r="H452" s="4"/>
      <c r="I452" s="4"/>
      <c r="J452" s="4"/>
      <c r="K452" s="4"/>
    </row>
    <row r="453" spans="2:11" ht="12.75">
      <c r="B453" s="1"/>
      <c r="D453" s="4"/>
      <c r="E453" s="4"/>
      <c r="F453" s="4"/>
      <c r="G453" s="4"/>
      <c r="H453" s="4"/>
      <c r="I453" s="4"/>
      <c r="J453" s="4"/>
      <c r="K453" s="4"/>
    </row>
    <row r="454" spans="2:11" ht="12.75">
      <c r="B454" s="1"/>
      <c r="D454" s="4"/>
      <c r="E454" s="4"/>
      <c r="F454" s="4"/>
      <c r="G454" s="4"/>
      <c r="H454" s="4"/>
      <c r="I454" s="4"/>
      <c r="J454" s="4"/>
      <c r="K454" s="4"/>
    </row>
    <row r="455" spans="2:11" ht="12.75">
      <c r="B455" s="1"/>
      <c r="D455" s="4"/>
      <c r="E455" s="4"/>
      <c r="F455" s="4"/>
      <c r="G455" s="4"/>
      <c r="H455" s="4"/>
      <c r="I455" s="4"/>
      <c r="J455" s="4"/>
      <c r="K455" s="4"/>
    </row>
    <row r="456" spans="2:11" ht="12.75">
      <c r="B456" s="1"/>
      <c r="D456" s="4"/>
      <c r="E456" s="4"/>
      <c r="F456" s="4"/>
      <c r="G456" s="4"/>
      <c r="H456" s="4"/>
      <c r="I456" s="4"/>
      <c r="J456" s="4"/>
      <c r="K456" s="4"/>
    </row>
    <row r="457" spans="2:11" ht="12.75">
      <c r="B457" s="1"/>
      <c r="D457" s="4"/>
      <c r="E457" s="4"/>
      <c r="F457" s="4"/>
      <c r="G457" s="4"/>
      <c r="H457" s="4"/>
      <c r="I457" s="4"/>
      <c r="J457" s="4"/>
      <c r="K457" s="4"/>
    </row>
    <row r="458" spans="2:11" ht="12.75">
      <c r="B458" s="1"/>
      <c r="D458" s="4"/>
      <c r="E458" s="4"/>
      <c r="F458" s="4"/>
      <c r="G458" s="4"/>
      <c r="H458" s="4"/>
      <c r="I458" s="4"/>
      <c r="J458" s="4"/>
      <c r="K458" s="4"/>
    </row>
    <row r="459" spans="2:11" ht="12.75">
      <c r="B459" s="1"/>
      <c r="D459" s="4"/>
      <c r="E459" s="4"/>
      <c r="F459" s="4"/>
      <c r="G459" s="4"/>
      <c r="H459" s="4"/>
      <c r="I459" s="4"/>
      <c r="J459" s="4"/>
      <c r="K459" s="4"/>
    </row>
    <row r="460" spans="2:11" ht="12.75">
      <c r="B460" s="1"/>
      <c r="D460" s="4"/>
      <c r="E460" s="4"/>
      <c r="F460" s="4"/>
      <c r="G460" s="4"/>
      <c r="H460" s="4"/>
      <c r="I460" s="4"/>
      <c r="J460" s="4"/>
      <c r="K460" s="4"/>
    </row>
    <row r="461" spans="2:11" ht="12.75">
      <c r="B461" s="1"/>
      <c r="D461" s="4"/>
      <c r="E461" s="4"/>
      <c r="F461" s="4"/>
      <c r="G461" s="4"/>
      <c r="H461" s="4"/>
      <c r="I461" s="4"/>
      <c r="J461" s="4"/>
      <c r="K461" s="4"/>
    </row>
    <row r="462" spans="2:11" ht="12.75">
      <c r="B462" s="1"/>
      <c r="D462" s="4"/>
      <c r="E462" s="4"/>
      <c r="F462" s="4"/>
      <c r="G462" s="4"/>
      <c r="H462" s="4"/>
      <c r="I462" s="4"/>
      <c r="J462" s="4"/>
      <c r="K462" s="4"/>
    </row>
    <row r="463" spans="2:11" ht="12.75">
      <c r="B463" s="1"/>
      <c r="D463" s="4"/>
      <c r="E463" s="4"/>
      <c r="F463" s="4"/>
      <c r="G463" s="4"/>
      <c r="H463" s="4"/>
      <c r="I463" s="4"/>
      <c r="J463" s="4"/>
      <c r="K463" s="4"/>
    </row>
    <row r="464" spans="2:11" ht="12.75">
      <c r="B464" s="1"/>
      <c r="D464" s="4"/>
      <c r="E464" s="4"/>
      <c r="F464" s="4"/>
      <c r="G464" s="4"/>
      <c r="H464" s="4"/>
      <c r="I464" s="4"/>
      <c r="J464" s="4"/>
      <c r="K464" s="4"/>
    </row>
    <row r="465" spans="2:11" ht="12.75">
      <c r="B465" s="1"/>
      <c r="D465" s="4"/>
      <c r="E465" s="4"/>
      <c r="F465" s="4"/>
      <c r="G465" s="4"/>
      <c r="H465" s="4"/>
      <c r="I465" s="4"/>
      <c r="J465" s="4"/>
      <c r="K465" s="4"/>
    </row>
    <row r="466" spans="2:11" ht="12.75">
      <c r="B466" s="1"/>
      <c r="D466" s="4"/>
      <c r="E466" s="4"/>
      <c r="F466" s="4"/>
      <c r="G466" s="4"/>
      <c r="H466" s="4"/>
      <c r="I466" s="4"/>
      <c r="J466" s="4"/>
      <c r="K466" s="4"/>
    </row>
    <row r="467" spans="2:11" ht="12.75">
      <c r="B467" s="1"/>
      <c r="D467" s="4"/>
      <c r="E467" s="4"/>
      <c r="F467" s="4"/>
      <c r="G467" s="4"/>
      <c r="H467" s="4"/>
      <c r="I467" s="4"/>
      <c r="J467" s="4"/>
      <c r="K467" s="4"/>
    </row>
    <row r="468" spans="2:11" ht="12.75">
      <c r="B468" s="1"/>
      <c r="D468" s="4"/>
      <c r="E468" s="4"/>
      <c r="F468" s="4"/>
      <c r="G468" s="4"/>
      <c r="H468" s="4"/>
      <c r="I468" s="4"/>
      <c r="J468" s="4"/>
      <c r="K468" s="4"/>
    </row>
    <row r="469" spans="2:11" ht="12.75">
      <c r="B469" s="1"/>
      <c r="D469" s="4"/>
      <c r="E469" s="4"/>
      <c r="F469" s="4"/>
      <c r="G469" s="4"/>
      <c r="H469" s="4"/>
      <c r="I469" s="4"/>
      <c r="J469" s="4"/>
      <c r="K469" s="4"/>
    </row>
    <row r="470" spans="2:11" ht="12.75">
      <c r="B470" s="1"/>
      <c r="D470" s="4"/>
      <c r="E470" s="4"/>
      <c r="F470" s="4"/>
      <c r="G470" s="4"/>
      <c r="H470" s="4"/>
      <c r="I470" s="4"/>
      <c r="J470" s="4"/>
      <c r="K470" s="4"/>
    </row>
    <row r="471" spans="2:11" ht="12.75">
      <c r="B471" s="1"/>
      <c r="D471" s="4"/>
      <c r="E471" s="4"/>
      <c r="F471" s="4"/>
      <c r="G471" s="4"/>
      <c r="H471" s="4"/>
      <c r="I471" s="4"/>
      <c r="J471" s="4"/>
      <c r="K471" s="4"/>
    </row>
    <row r="472" spans="2:11" ht="12.75">
      <c r="B472" s="1"/>
      <c r="D472" s="4"/>
      <c r="E472" s="4"/>
      <c r="F472" s="4"/>
      <c r="G472" s="4"/>
      <c r="H472" s="4"/>
      <c r="I472" s="4"/>
      <c r="J472" s="4"/>
      <c r="K472" s="4"/>
    </row>
    <row r="473" spans="2:11" ht="12.75">
      <c r="B473" s="1"/>
      <c r="D473" s="4"/>
      <c r="E473" s="4"/>
      <c r="F473" s="4"/>
      <c r="G473" s="4"/>
      <c r="H473" s="4"/>
      <c r="I473" s="4"/>
      <c r="J473" s="4"/>
      <c r="K473" s="4"/>
    </row>
    <row r="474" spans="2:11" ht="12.75">
      <c r="B474" s="1"/>
      <c r="D474" s="4"/>
      <c r="E474" s="4"/>
      <c r="F474" s="4"/>
      <c r="G474" s="4"/>
      <c r="H474" s="4"/>
      <c r="I474" s="4"/>
      <c r="J474" s="4"/>
      <c r="K474" s="4"/>
    </row>
    <row r="475" spans="2:11" ht="12.75">
      <c r="B475" s="1"/>
      <c r="D475" s="4"/>
      <c r="E475" s="4"/>
      <c r="F475" s="4"/>
      <c r="G475" s="4"/>
      <c r="H475" s="4"/>
      <c r="I475" s="4"/>
      <c r="J475" s="4"/>
      <c r="K475" s="4"/>
    </row>
    <row r="476" spans="2:11" ht="12.75">
      <c r="B476" s="1"/>
      <c r="D476" s="4"/>
      <c r="E476" s="4"/>
      <c r="F476" s="4"/>
      <c r="G476" s="4"/>
      <c r="H476" s="4"/>
      <c r="I476" s="4"/>
      <c r="J476" s="4"/>
      <c r="K476" s="4"/>
    </row>
    <row r="477" spans="2:11" ht="12.75">
      <c r="B477" s="1"/>
      <c r="D477" s="4"/>
      <c r="E477" s="4"/>
      <c r="F477" s="4"/>
      <c r="G477" s="4"/>
      <c r="H477" s="4"/>
      <c r="I477" s="4"/>
      <c r="J477" s="4"/>
      <c r="K477" s="4"/>
    </row>
    <row r="478" spans="2:11" ht="12.75">
      <c r="B478" s="1"/>
      <c r="D478" s="4"/>
      <c r="E478" s="4"/>
      <c r="F478" s="4"/>
      <c r="G478" s="4"/>
      <c r="H478" s="4"/>
      <c r="I478" s="4"/>
      <c r="J478" s="4"/>
      <c r="K478" s="4"/>
    </row>
    <row r="479" spans="2:11" ht="12.75">
      <c r="B479" s="1"/>
      <c r="D479" s="4"/>
      <c r="E479" s="4"/>
      <c r="F479" s="4"/>
      <c r="G479" s="4"/>
      <c r="H479" s="4"/>
      <c r="I479" s="4"/>
      <c r="J479" s="4"/>
      <c r="K479" s="4"/>
    </row>
    <row r="480" spans="2:11" ht="12.75">
      <c r="B480" s="1"/>
      <c r="D480" s="4"/>
      <c r="E480" s="4"/>
      <c r="F480" s="4"/>
      <c r="G480" s="4"/>
      <c r="H480" s="4"/>
      <c r="I480" s="4"/>
      <c r="J480" s="4"/>
      <c r="K480" s="4"/>
    </row>
    <row r="481" spans="2:11" ht="12.75">
      <c r="B481" s="1"/>
      <c r="D481" s="4"/>
      <c r="E481" s="4"/>
      <c r="F481" s="4"/>
      <c r="G481" s="4"/>
      <c r="H481" s="4"/>
      <c r="I481" s="4"/>
      <c r="J481" s="4"/>
      <c r="K481" s="4"/>
    </row>
    <row r="482" spans="2:11" ht="12.75">
      <c r="B482" s="1"/>
      <c r="D482" s="4"/>
      <c r="E482" s="4"/>
      <c r="F482" s="4"/>
      <c r="G482" s="4"/>
      <c r="H482" s="4"/>
      <c r="I482" s="4"/>
      <c r="J482" s="4"/>
      <c r="K482" s="4"/>
    </row>
    <row r="483" spans="2:11" ht="12.75">
      <c r="B483" s="1"/>
      <c r="D483" s="4"/>
      <c r="E483" s="4"/>
      <c r="F483" s="4"/>
      <c r="G483" s="4"/>
      <c r="H483" s="4"/>
      <c r="I483" s="4"/>
      <c r="J483" s="4"/>
      <c r="K483" s="4"/>
    </row>
    <row r="484" spans="2:11" ht="12.75">
      <c r="B484" s="1"/>
      <c r="D484" s="4"/>
      <c r="E484" s="4"/>
      <c r="F484" s="4"/>
      <c r="G484" s="4"/>
      <c r="H484" s="4"/>
      <c r="I484" s="4"/>
      <c r="J484" s="4"/>
      <c r="K484" s="4"/>
    </row>
    <row r="485" spans="2:11" ht="12.75">
      <c r="B485" s="1"/>
      <c r="D485" s="4"/>
      <c r="E485" s="4"/>
      <c r="F485" s="4"/>
      <c r="G485" s="4"/>
      <c r="H485" s="4"/>
      <c r="I485" s="4"/>
      <c r="J485" s="4"/>
      <c r="K485" s="4"/>
    </row>
    <row r="486" spans="2:11" ht="12.75">
      <c r="B486" s="1"/>
      <c r="D486" s="4"/>
      <c r="E486" s="4"/>
      <c r="F486" s="4"/>
      <c r="G486" s="4"/>
      <c r="H486" s="4"/>
      <c r="I486" s="4"/>
      <c r="J486" s="4"/>
      <c r="K486" s="4"/>
    </row>
    <row r="487" spans="2:11" ht="12.75">
      <c r="B487" s="1"/>
      <c r="D487" s="4"/>
      <c r="E487" s="4"/>
      <c r="F487" s="4"/>
      <c r="G487" s="4"/>
      <c r="H487" s="4"/>
      <c r="I487" s="4"/>
      <c r="J487" s="4"/>
      <c r="K487" s="4"/>
    </row>
    <row r="488" spans="2:11" ht="12.75">
      <c r="B488" s="1"/>
      <c r="D488" s="4"/>
      <c r="E488" s="4"/>
      <c r="F488" s="4"/>
      <c r="G488" s="4"/>
      <c r="H488" s="4"/>
      <c r="I488" s="4"/>
      <c r="J488" s="4"/>
      <c r="K488" s="4"/>
    </row>
    <row r="489" spans="2:11" ht="12.75">
      <c r="B489" s="1"/>
      <c r="D489" s="4"/>
      <c r="E489" s="4"/>
      <c r="F489" s="4"/>
      <c r="G489" s="4"/>
      <c r="H489" s="4"/>
      <c r="I489" s="4"/>
      <c r="J489" s="4"/>
      <c r="K489" s="4"/>
    </row>
    <row r="490" spans="2:11" ht="12.75">
      <c r="B490" s="1"/>
      <c r="D490" s="4"/>
      <c r="E490" s="4"/>
      <c r="F490" s="4"/>
      <c r="G490" s="4"/>
      <c r="H490" s="4"/>
      <c r="I490" s="4"/>
      <c r="J490" s="4"/>
      <c r="K490" s="4"/>
    </row>
    <row r="491" spans="2:11" ht="12.75">
      <c r="B491" s="1"/>
      <c r="D491" s="4"/>
      <c r="E491" s="4"/>
      <c r="F491" s="4"/>
      <c r="G491" s="4"/>
      <c r="H491" s="4"/>
      <c r="I491" s="4"/>
      <c r="J491" s="4"/>
      <c r="K491" s="4"/>
    </row>
    <row r="492" spans="2:11" ht="12.75">
      <c r="B492" s="1"/>
      <c r="D492" s="4"/>
      <c r="E492" s="4"/>
      <c r="F492" s="4"/>
      <c r="G492" s="4"/>
      <c r="H492" s="4"/>
      <c r="I492" s="4"/>
      <c r="J492" s="4"/>
      <c r="K492" s="4"/>
    </row>
    <row r="493" spans="2:11" ht="12.75">
      <c r="B493" s="1"/>
      <c r="D493" s="4"/>
      <c r="E493" s="4"/>
      <c r="F493" s="4"/>
      <c r="G493" s="4"/>
      <c r="H493" s="4"/>
      <c r="I493" s="4"/>
      <c r="J493" s="4"/>
      <c r="K493" s="4"/>
    </row>
    <row r="494" spans="2:11" ht="12.75">
      <c r="B494" s="1"/>
      <c r="D494" s="4"/>
      <c r="E494" s="4"/>
      <c r="F494" s="4"/>
      <c r="G494" s="4"/>
      <c r="H494" s="4"/>
      <c r="I494" s="4"/>
      <c r="J494" s="4"/>
      <c r="K494" s="4"/>
    </row>
    <row r="495" spans="2:11" ht="12.75">
      <c r="B495" s="1"/>
      <c r="D495" s="4"/>
      <c r="E495" s="4"/>
      <c r="F495" s="4"/>
      <c r="G495" s="4"/>
      <c r="H495" s="4"/>
      <c r="I495" s="4"/>
      <c r="J495" s="4"/>
      <c r="K495" s="4"/>
    </row>
    <row r="496" spans="2:11" ht="12.75">
      <c r="B496" s="1"/>
      <c r="D496" s="4"/>
      <c r="E496" s="4"/>
      <c r="F496" s="4"/>
      <c r="G496" s="4"/>
      <c r="H496" s="4"/>
      <c r="I496" s="4"/>
      <c r="J496" s="4"/>
      <c r="K496" s="4"/>
    </row>
    <row r="497" spans="2:11" ht="12.75">
      <c r="B497" s="1"/>
      <c r="D497" s="4"/>
      <c r="E497" s="4"/>
      <c r="F497" s="4"/>
      <c r="G497" s="4"/>
      <c r="H497" s="4"/>
      <c r="I497" s="4"/>
      <c r="J497" s="4"/>
      <c r="K497" s="4"/>
    </row>
    <row r="498" spans="2:11" ht="12.75">
      <c r="B498" s="1"/>
      <c r="D498" s="4"/>
      <c r="E498" s="4"/>
      <c r="F498" s="4"/>
      <c r="G498" s="4"/>
      <c r="H498" s="4"/>
      <c r="I498" s="4"/>
      <c r="J498" s="4"/>
      <c r="K498" s="4"/>
    </row>
    <row r="499" spans="2:11" ht="12.75">
      <c r="B499" s="1"/>
      <c r="D499" s="4"/>
      <c r="E499" s="4"/>
      <c r="F499" s="4"/>
      <c r="G499" s="4"/>
      <c r="H499" s="4"/>
      <c r="I499" s="4"/>
      <c r="J499" s="4"/>
      <c r="K499" s="4"/>
    </row>
    <row r="500" spans="2:11" ht="12.75">
      <c r="B500" s="1"/>
      <c r="D500" s="4"/>
      <c r="E500" s="4"/>
      <c r="F500" s="4"/>
      <c r="G500" s="4"/>
      <c r="H500" s="4"/>
      <c r="I500" s="4"/>
      <c r="J500" s="4"/>
      <c r="K500" s="4"/>
    </row>
    <row r="501" spans="2:11" ht="12.75">
      <c r="B501" s="1"/>
      <c r="D501" s="4"/>
      <c r="E501" s="4"/>
      <c r="F501" s="4"/>
      <c r="G501" s="4"/>
      <c r="H501" s="4"/>
      <c r="I501" s="4"/>
      <c r="J501" s="4"/>
      <c r="K501" s="4"/>
    </row>
    <row r="502" spans="2:11" ht="12.75">
      <c r="B502" s="1"/>
      <c r="D502" s="4"/>
      <c r="E502" s="4"/>
      <c r="F502" s="4"/>
      <c r="G502" s="4"/>
      <c r="H502" s="4"/>
      <c r="I502" s="4"/>
      <c r="J502" s="4"/>
      <c r="K502" s="4"/>
    </row>
    <row r="503" spans="2:11" ht="12.75">
      <c r="B503" s="1"/>
      <c r="D503" s="4"/>
      <c r="E503" s="4"/>
      <c r="F503" s="4"/>
      <c r="G503" s="4"/>
      <c r="H503" s="4"/>
      <c r="I503" s="4"/>
      <c r="J503" s="4"/>
      <c r="K503" s="4"/>
    </row>
    <row r="504" spans="2:11" ht="12.75">
      <c r="B504" s="1"/>
      <c r="D504" s="4"/>
      <c r="E504" s="4"/>
      <c r="F504" s="4"/>
      <c r="G504" s="4"/>
      <c r="H504" s="4"/>
      <c r="I504" s="4"/>
      <c r="J504" s="4"/>
      <c r="K504" s="4"/>
    </row>
    <row r="505" spans="2:11" ht="12.75">
      <c r="B505" s="1"/>
      <c r="D505" s="4"/>
      <c r="E505" s="4"/>
      <c r="F505" s="4"/>
      <c r="G505" s="4"/>
      <c r="H505" s="4"/>
      <c r="I505" s="4"/>
      <c r="J505" s="4"/>
      <c r="K505" s="4"/>
    </row>
    <row r="506" spans="2:11" ht="12.75">
      <c r="B506" s="1"/>
      <c r="D506" s="4"/>
      <c r="E506" s="4"/>
      <c r="F506" s="4"/>
      <c r="G506" s="4"/>
      <c r="H506" s="4"/>
      <c r="I506" s="4"/>
      <c r="J506" s="4"/>
      <c r="K506" s="4"/>
    </row>
    <row r="507" spans="2:11" ht="12.75">
      <c r="B507" s="1"/>
      <c r="D507" s="4"/>
      <c r="E507" s="4"/>
      <c r="F507" s="4"/>
      <c r="G507" s="4"/>
      <c r="H507" s="4"/>
      <c r="I507" s="4"/>
      <c r="J507" s="4"/>
      <c r="K507" s="4"/>
    </row>
    <row r="508" spans="2:11" ht="12.75">
      <c r="B508" s="1"/>
      <c r="D508" s="4"/>
      <c r="E508" s="4"/>
      <c r="F508" s="4"/>
      <c r="G508" s="4"/>
      <c r="H508" s="4"/>
      <c r="I508" s="4"/>
      <c r="J508" s="4"/>
      <c r="K508" s="4"/>
    </row>
    <row r="509" spans="2:11" ht="12.75">
      <c r="B509" s="1"/>
      <c r="D509" s="4"/>
      <c r="E509" s="4"/>
      <c r="F509" s="4"/>
      <c r="G509" s="4"/>
      <c r="H509" s="4"/>
      <c r="I509" s="4"/>
      <c r="J509" s="4"/>
      <c r="K509" s="4"/>
    </row>
    <row r="510" spans="2:11" ht="12.75">
      <c r="B510" s="1"/>
      <c r="D510" s="4"/>
      <c r="E510" s="4"/>
      <c r="F510" s="4"/>
      <c r="G510" s="4"/>
      <c r="H510" s="4"/>
      <c r="I510" s="4"/>
      <c r="J510" s="4"/>
      <c r="K510" s="4"/>
    </row>
    <row r="511" spans="2:11" ht="12.75">
      <c r="B511" s="1"/>
      <c r="D511" s="4"/>
      <c r="E511" s="4"/>
      <c r="F511" s="4"/>
      <c r="G511" s="4"/>
      <c r="H511" s="4"/>
      <c r="I511" s="4"/>
      <c r="J511" s="4"/>
      <c r="K511" s="4"/>
    </row>
    <row r="512" spans="2:11" ht="12.75">
      <c r="B512" s="1"/>
      <c r="D512" s="4"/>
      <c r="E512" s="4"/>
      <c r="F512" s="4"/>
      <c r="G512" s="4"/>
      <c r="H512" s="4"/>
      <c r="I512" s="4"/>
      <c r="J512" s="4"/>
      <c r="K512" s="4"/>
    </row>
    <row r="513" spans="2:11" ht="12.75">
      <c r="B513" s="1"/>
      <c r="D513" s="4"/>
      <c r="E513" s="4"/>
      <c r="F513" s="4"/>
      <c r="G513" s="4"/>
      <c r="H513" s="4"/>
      <c r="I513" s="4"/>
      <c r="J513" s="4"/>
      <c r="K513" s="4"/>
    </row>
    <row r="514" spans="2:11" ht="12.75">
      <c r="B514" s="1"/>
      <c r="D514" s="4"/>
      <c r="E514" s="4"/>
      <c r="F514" s="4"/>
      <c r="G514" s="4"/>
      <c r="H514" s="4"/>
      <c r="I514" s="4"/>
      <c r="J514" s="4"/>
      <c r="K514" s="4"/>
    </row>
    <row r="515" spans="2:11" ht="12.75">
      <c r="B515" s="1"/>
      <c r="D515" s="4"/>
      <c r="E515" s="4"/>
      <c r="F515" s="4"/>
      <c r="G515" s="4"/>
      <c r="H515" s="4"/>
      <c r="I515" s="4"/>
      <c r="J515" s="4"/>
      <c r="K515" s="4"/>
    </row>
    <row r="516" spans="2:11" ht="12.75">
      <c r="B516" s="1"/>
      <c r="D516" s="4"/>
      <c r="E516" s="4"/>
      <c r="F516" s="4"/>
      <c r="G516" s="4"/>
      <c r="H516" s="4"/>
      <c r="I516" s="4"/>
      <c r="J516" s="4"/>
      <c r="K516" s="4"/>
    </row>
    <row r="517" spans="2:11" ht="12.75">
      <c r="B517" s="1"/>
      <c r="D517" s="4"/>
      <c r="E517" s="4"/>
      <c r="F517" s="4"/>
      <c r="G517" s="4"/>
      <c r="H517" s="4"/>
      <c r="I517" s="4"/>
      <c r="J517" s="4"/>
      <c r="K517" s="4"/>
    </row>
    <row r="518" spans="2:11" ht="12.75">
      <c r="B518" s="1"/>
      <c r="D518" s="4"/>
      <c r="E518" s="4"/>
      <c r="F518" s="4"/>
      <c r="G518" s="4"/>
      <c r="H518" s="4"/>
      <c r="I518" s="4"/>
      <c r="J518" s="4"/>
      <c r="K518" s="4"/>
    </row>
    <row r="519" spans="2:11" ht="12.75">
      <c r="B519" s="1"/>
      <c r="D519" s="4"/>
      <c r="E519" s="4"/>
      <c r="F519" s="4"/>
      <c r="G519" s="4"/>
      <c r="H519" s="4"/>
      <c r="I519" s="4"/>
      <c r="J519" s="4"/>
      <c r="K519" s="4"/>
    </row>
    <row r="520" spans="2:11" ht="12.75">
      <c r="B520" s="1"/>
      <c r="D520" s="4"/>
      <c r="E520" s="4"/>
      <c r="F520" s="4"/>
      <c r="G520" s="4"/>
      <c r="H520" s="4"/>
      <c r="I520" s="4"/>
      <c r="J520" s="4"/>
      <c r="K520" s="4"/>
    </row>
    <row r="521" spans="2:11" ht="12.75">
      <c r="B521" s="1"/>
      <c r="D521" s="4"/>
      <c r="E521" s="4"/>
      <c r="F521" s="4"/>
      <c r="G521" s="4"/>
      <c r="H521" s="4"/>
      <c r="I521" s="4"/>
      <c r="J521" s="4"/>
      <c r="K521" s="4"/>
    </row>
    <row r="522" spans="2:11" ht="12.75">
      <c r="B522" s="1"/>
      <c r="D522" s="4"/>
      <c r="E522" s="4"/>
      <c r="F522" s="4"/>
      <c r="G522" s="4"/>
      <c r="H522" s="4"/>
      <c r="I522" s="4"/>
      <c r="J522" s="4"/>
      <c r="K522" s="4"/>
    </row>
    <row r="523" spans="2:11" ht="12.75">
      <c r="B523" s="1"/>
      <c r="D523" s="4"/>
      <c r="E523" s="4"/>
      <c r="F523" s="4"/>
      <c r="G523" s="4"/>
      <c r="H523" s="4"/>
      <c r="I523" s="4"/>
      <c r="J523" s="4"/>
      <c r="K523" s="4"/>
    </row>
    <row r="524" spans="2:11" ht="12.75">
      <c r="B524" s="1"/>
      <c r="D524" s="4"/>
      <c r="E524" s="4"/>
      <c r="F524" s="4"/>
      <c r="G524" s="4"/>
      <c r="H524" s="4"/>
      <c r="I524" s="4"/>
      <c r="J524" s="4"/>
      <c r="K524" s="4"/>
    </row>
    <row r="525" spans="2:11" ht="12.75">
      <c r="B525" s="1"/>
      <c r="D525" s="4"/>
      <c r="E525" s="4"/>
      <c r="F525" s="4"/>
      <c r="G525" s="4"/>
      <c r="H525" s="4"/>
      <c r="I525" s="4"/>
      <c r="J525" s="4"/>
      <c r="K525" s="4"/>
    </row>
    <row r="526" spans="2:11" ht="12.75">
      <c r="B526" s="1"/>
      <c r="D526" s="4"/>
      <c r="E526" s="4"/>
      <c r="F526" s="4"/>
      <c r="G526" s="4"/>
      <c r="H526" s="4"/>
      <c r="I526" s="4"/>
      <c r="J526" s="4"/>
      <c r="K526" s="4"/>
    </row>
    <row r="527" spans="2:11" ht="12.75">
      <c r="B527" s="1"/>
      <c r="D527" s="4"/>
      <c r="E527" s="4"/>
      <c r="F527" s="4"/>
      <c r="G527" s="4"/>
      <c r="H527" s="4"/>
      <c r="I527" s="4"/>
      <c r="J527" s="4"/>
      <c r="K527" s="4"/>
    </row>
    <row r="528" spans="2:11" ht="12.75">
      <c r="B528" s="1"/>
      <c r="D528" s="4"/>
      <c r="E528" s="4"/>
      <c r="F528" s="4"/>
      <c r="G528" s="4"/>
      <c r="H528" s="4"/>
      <c r="I528" s="4"/>
      <c r="J528" s="4"/>
      <c r="K528" s="4"/>
    </row>
    <row r="529" spans="2:11" ht="12.75">
      <c r="B529" s="1"/>
      <c r="D529" s="4"/>
      <c r="E529" s="4"/>
      <c r="F529" s="4"/>
      <c r="G529" s="4"/>
      <c r="H529" s="4"/>
      <c r="I529" s="4"/>
      <c r="J529" s="4"/>
      <c r="K529" s="4"/>
    </row>
    <row r="530" spans="2:11" ht="12.75">
      <c r="B530" s="1"/>
      <c r="D530" s="4"/>
      <c r="E530" s="4"/>
      <c r="F530" s="4"/>
      <c r="G530" s="4"/>
      <c r="H530" s="4"/>
      <c r="I530" s="4"/>
      <c r="J530" s="4"/>
      <c r="K530" s="4"/>
    </row>
    <row r="531" spans="2:11" ht="12.75">
      <c r="B531" s="1"/>
      <c r="D531" s="4"/>
      <c r="E531" s="4"/>
      <c r="F531" s="4"/>
      <c r="G531" s="4"/>
      <c r="H531" s="4"/>
      <c r="I531" s="4"/>
      <c r="J531" s="4"/>
      <c r="K531" s="4"/>
    </row>
    <row r="532" spans="2:11" ht="12.75">
      <c r="B532" s="1"/>
      <c r="D532" s="4"/>
      <c r="E532" s="4"/>
      <c r="F532" s="4"/>
      <c r="G532" s="4"/>
      <c r="H532" s="4"/>
      <c r="I532" s="4"/>
      <c r="J532" s="4"/>
      <c r="K532" s="4"/>
    </row>
    <row r="533" spans="2:11" ht="12.75">
      <c r="B533" s="1"/>
      <c r="D533" s="4"/>
      <c r="E533" s="4"/>
      <c r="F533" s="4"/>
      <c r="G533" s="4"/>
      <c r="H533" s="4"/>
      <c r="I533" s="4"/>
      <c r="J533" s="4"/>
      <c r="K533" s="4"/>
    </row>
    <row r="534" spans="2:11" ht="12.75">
      <c r="B534" s="1"/>
      <c r="D534" s="4"/>
      <c r="E534" s="4"/>
      <c r="F534" s="4"/>
      <c r="G534" s="4"/>
      <c r="H534" s="4"/>
      <c r="I534" s="4"/>
      <c r="J534" s="4"/>
      <c r="K534" s="4"/>
    </row>
    <row r="535" spans="2:11" ht="12.75">
      <c r="B535" s="1"/>
      <c r="D535" s="4"/>
      <c r="E535" s="4"/>
      <c r="F535" s="4"/>
      <c r="G535" s="4"/>
      <c r="H535" s="4"/>
      <c r="I535" s="4"/>
      <c r="J535" s="4"/>
      <c r="K535" s="4"/>
    </row>
    <row r="536" spans="2:11" ht="12.75">
      <c r="B536" s="1"/>
      <c r="D536" s="4"/>
      <c r="E536" s="4"/>
      <c r="F536" s="4"/>
      <c r="G536" s="4"/>
      <c r="H536" s="4"/>
      <c r="I536" s="4"/>
      <c r="J536" s="4"/>
      <c r="K536" s="4"/>
    </row>
    <row r="537" spans="2:11" ht="12.75">
      <c r="B537" s="1"/>
      <c r="D537" s="4"/>
      <c r="E537" s="4"/>
      <c r="F537" s="4"/>
      <c r="G537" s="4"/>
      <c r="H537" s="4"/>
      <c r="I537" s="4"/>
      <c r="J537" s="4"/>
      <c r="K537" s="4"/>
    </row>
    <row r="538" spans="2:11" ht="12.75">
      <c r="B538" s="1"/>
      <c r="D538" s="4"/>
      <c r="E538" s="4"/>
      <c r="F538" s="4"/>
      <c r="G538" s="4"/>
      <c r="H538" s="4"/>
      <c r="I538" s="4"/>
      <c r="J538" s="4"/>
      <c r="K538" s="4"/>
    </row>
    <row r="539" spans="2:11" ht="12.75">
      <c r="B539" s="1"/>
      <c r="D539" s="4"/>
      <c r="E539" s="4"/>
      <c r="F539" s="4"/>
      <c r="G539" s="4"/>
      <c r="H539" s="4"/>
      <c r="I539" s="4"/>
      <c r="J539" s="4"/>
      <c r="K539" s="4"/>
    </row>
    <row r="540" spans="2:11" ht="12.75">
      <c r="B540" s="1"/>
      <c r="D540" s="4"/>
      <c r="E540" s="4"/>
      <c r="F540" s="4"/>
      <c r="G540" s="4"/>
      <c r="H540" s="4"/>
      <c r="I540" s="4"/>
      <c r="J540" s="4"/>
      <c r="K540" s="4"/>
    </row>
    <row r="541" spans="2:11" ht="12.75">
      <c r="B541" s="1"/>
      <c r="D541" s="4"/>
      <c r="E541" s="4"/>
      <c r="F541" s="4"/>
      <c r="G541" s="4"/>
      <c r="H541" s="4"/>
      <c r="I541" s="4"/>
      <c r="J541" s="4"/>
      <c r="K541" s="4"/>
    </row>
    <row r="542" spans="2:11" ht="12.75">
      <c r="B542" s="1"/>
      <c r="D542" s="4"/>
      <c r="E542" s="4"/>
      <c r="F542" s="4"/>
      <c r="G542" s="4"/>
      <c r="H542" s="4"/>
      <c r="I542" s="4"/>
      <c r="J542" s="4"/>
      <c r="K542" s="4"/>
    </row>
    <row r="543" spans="2:11" ht="12.75">
      <c r="B543" s="1"/>
      <c r="D543" s="4"/>
      <c r="E543" s="4"/>
      <c r="F543" s="4"/>
      <c r="G543" s="4"/>
      <c r="H543" s="4"/>
      <c r="I543" s="4"/>
      <c r="J543" s="4"/>
      <c r="K543" s="4"/>
    </row>
    <row r="544" spans="2:11" ht="12.75">
      <c r="B544" s="1"/>
      <c r="D544" s="4"/>
      <c r="E544" s="4"/>
      <c r="F544" s="4"/>
      <c r="G544" s="4"/>
      <c r="H544" s="4"/>
      <c r="I544" s="4"/>
      <c r="J544" s="4"/>
      <c r="K544" s="4"/>
    </row>
    <row r="545" spans="2:11" ht="12.75">
      <c r="B545" s="1"/>
      <c r="D545" s="4"/>
      <c r="E545" s="4"/>
      <c r="F545" s="4"/>
      <c r="G545" s="4"/>
      <c r="H545" s="4"/>
      <c r="I545" s="4"/>
      <c r="J545" s="4"/>
      <c r="K545" s="4"/>
    </row>
    <row r="546" spans="2:11" ht="12.75">
      <c r="B546" s="1"/>
      <c r="D546" s="4"/>
      <c r="E546" s="4"/>
      <c r="F546" s="4"/>
      <c r="G546" s="4"/>
      <c r="H546" s="4"/>
      <c r="I546" s="4"/>
      <c r="J546" s="4"/>
      <c r="K546" s="4"/>
    </row>
    <row r="547" spans="2:11" ht="12.75">
      <c r="B547" s="1"/>
      <c r="D547" s="4"/>
      <c r="E547" s="4"/>
      <c r="F547" s="4"/>
      <c r="G547" s="4"/>
      <c r="H547" s="4"/>
      <c r="I547" s="4"/>
      <c r="J547" s="4"/>
      <c r="K547" s="4"/>
    </row>
    <row r="548" spans="2:11" ht="12.75">
      <c r="B548" s="1"/>
      <c r="D548" s="4"/>
      <c r="E548" s="4"/>
      <c r="F548" s="4"/>
      <c r="G548" s="4"/>
      <c r="H548" s="4"/>
      <c r="I548" s="4"/>
      <c r="J548" s="4"/>
      <c r="K548" s="4"/>
    </row>
    <row r="549" spans="2:11" ht="12.75">
      <c r="B549" s="1"/>
      <c r="D549" s="4"/>
      <c r="E549" s="4"/>
      <c r="F549" s="4"/>
      <c r="G549" s="4"/>
      <c r="H549" s="4"/>
      <c r="I549" s="4"/>
      <c r="J549" s="4"/>
      <c r="K549" s="4"/>
    </row>
    <row r="550" spans="2:11" ht="12.75">
      <c r="B550" s="1"/>
      <c r="D550" s="4"/>
      <c r="E550" s="4"/>
      <c r="F550" s="4"/>
      <c r="G550" s="4"/>
      <c r="H550" s="4"/>
      <c r="I550" s="4"/>
      <c r="J550" s="4"/>
      <c r="K550" s="4"/>
    </row>
    <row r="551" spans="2:11" ht="12.75">
      <c r="B551" s="1"/>
      <c r="D551" s="4"/>
      <c r="E551" s="4"/>
      <c r="F551" s="4"/>
      <c r="G551" s="4"/>
      <c r="H551" s="4"/>
      <c r="I551" s="4"/>
      <c r="J551" s="4"/>
      <c r="K551" s="4"/>
    </row>
    <row r="552" spans="2:11" ht="12.75">
      <c r="B552" s="1"/>
      <c r="D552" s="4"/>
      <c r="E552" s="4"/>
      <c r="F552" s="4"/>
      <c r="G552" s="4"/>
      <c r="H552" s="4"/>
      <c r="I552" s="4"/>
      <c r="J552" s="4"/>
      <c r="K552" s="4"/>
    </row>
    <row r="553" spans="2:11" ht="12.75">
      <c r="B553" s="1"/>
      <c r="D553" s="4"/>
      <c r="E553" s="4"/>
      <c r="F553" s="4"/>
      <c r="G553" s="4"/>
      <c r="H553" s="4"/>
      <c r="I553" s="4"/>
      <c r="J553" s="4"/>
      <c r="K553" s="4"/>
    </row>
    <row r="554" spans="2:11" ht="12.75">
      <c r="B554" s="1"/>
      <c r="D554" s="4"/>
      <c r="E554" s="4"/>
      <c r="F554" s="4"/>
      <c r="G554" s="4"/>
      <c r="H554" s="4"/>
      <c r="I554" s="4"/>
      <c r="J554" s="4"/>
      <c r="K554" s="4"/>
    </row>
    <row r="555" spans="2:11" ht="12.75">
      <c r="B555" s="1"/>
      <c r="D555" s="4"/>
      <c r="E555" s="4"/>
      <c r="F555" s="4"/>
      <c r="G555" s="4"/>
      <c r="H555" s="4"/>
      <c r="I555" s="4"/>
      <c r="J555" s="4"/>
      <c r="K555" s="4"/>
    </row>
    <row r="556" spans="2:11" ht="12.75">
      <c r="B556" s="1"/>
      <c r="D556" s="4"/>
      <c r="E556" s="4"/>
      <c r="F556" s="4"/>
      <c r="G556" s="4"/>
      <c r="H556" s="4"/>
      <c r="I556" s="4"/>
      <c r="J556" s="4"/>
      <c r="K556" s="4"/>
    </row>
    <row r="557" spans="2:11" ht="12.75">
      <c r="B557" s="1"/>
      <c r="D557" s="4"/>
      <c r="E557" s="4"/>
      <c r="F557" s="4"/>
      <c r="G557" s="4"/>
      <c r="H557" s="4"/>
      <c r="I557" s="4"/>
      <c r="J557" s="4"/>
      <c r="K557" s="4"/>
    </row>
    <row r="558" spans="2:11" ht="12.75">
      <c r="B558" s="1"/>
      <c r="D558" s="4"/>
      <c r="E558" s="4"/>
      <c r="F558" s="4"/>
      <c r="G558" s="4"/>
      <c r="H558" s="4"/>
      <c r="I558" s="4"/>
      <c r="J558" s="4"/>
      <c r="K558" s="4"/>
    </row>
    <row r="559" spans="2:11" ht="12.75">
      <c r="B559" s="1"/>
      <c r="D559" s="4"/>
      <c r="E559" s="4"/>
      <c r="F559" s="4"/>
      <c r="G559" s="4"/>
      <c r="H559" s="4"/>
      <c r="I559" s="4"/>
      <c r="J559" s="4"/>
      <c r="K559" s="4"/>
    </row>
    <row r="560" spans="2:11" ht="12.75">
      <c r="B560" s="1"/>
      <c r="D560" s="4"/>
      <c r="E560" s="4"/>
      <c r="F560" s="4"/>
      <c r="G560" s="4"/>
      <c r="H560" s="4"/>
      <c r="I560" s="4"/>
      <c r="J560" s="4"/>
      <c r="K560" s="4"/>
    </row>
    <row r="561" spans="2:11" ht="12.75">
      <c r="B561" s="1"/>
      <c r="D561" s="4"/>
      <c r="E561" s="4"/>
      <c r="F561" s="4"/>
      <c r="G561" s="4"/>
      <c r="H561" s="4"/>
      <c r="I561" s="4"/>
      <c r="J561" s="4"/>
      <c r="K561" s="4"/>
    </row>
    <row r="562" spans="2:11" ht="12.75">
      <c r="B562" s="1"/>
      <c r="D562" s="4"/>
      <c r="E562" s="4"/>
      <c r="F562" s="4"/>
      <c r="G562" s="4"/>
      <c r="H562" s="4"/>
      <c r="I562" s="4"/>
      <c r="J562" s="4"/>
      <c r="K562" s="4"/>
    </row>
    <row r="563" spans="2:11" ht="12.75">
      <c r="B563" s="1"/>
      <c r="D563" s="4"/>
      <c r="E563" s="4"/>
      <c r="F563" s="4"/>
      <c r="G563" s="4"/>
      <c r="H563" s="4"/>
      <c r="I563" s="4"/>
      <c r="J563" s="4"/>
      <c r="K563" s="4"/>
    </row>
    <row r="564" spans="2:11" ht="12.75">
      <c r="B564" s="1"/>
      <c r="D564" s="4"/>
      <c r="E564" s="4"/>
      <c r="F564" s="4"/>
      <c r="G564" s="4"/>
      <c r="H564" s="4"/>
      <c r="I564" s="4"/>
      <c r="J564" s="4"/>
      <c r="K564" s="4"/>
    </row>
    <row r="565" spans="2:11" ht="12.75">
      <c r="B565" s="1"/>
      <c r="D565" s="4"/>
      <c r="E565" s="4"/>
      <c r="F565" s="4"/>
      <c r="G565" s="4"/>
      <c r="H565" s="4"/>
      <c r="I565" s="4"/>
      <c r="J565" s="4"/>
      <c r="K565" s="4"/>
    </row>
    <row r="566" spans="2:11" ht="12.75">
      <c r="B566" s="1"/>
      <c r="D566" s="4"/>
      <c r="E566" s="4"/>
      <c r="F566" s="4"/>
      <c r="G566" s="4"/>
      <c r="H566" s="4"/>
      <c r="I566" s="4"/>
      <c r="J566" s="4"/>
      <c r="K566" s="4"/>
    </row>
    <row r="567" spans="2:11" ht="12.75">
      <c r="B567" s="1"/>
      <c r="D567" s="4"/>
      <c r="E567" s="4"/>
      <c r="F567" s="4"/>
      <c r="G567" s="4"/>
      <c r="H567" s="4"/>
      <c r="I567" s="4"/>
      <c r="J567" s="4"/>
      <c r="K567" s="4"/>
    </row>
    <row r="568" spans="2:11" ht="12.75">
      <c r="B568" s="1"/>
      <c r="D568" s="4"/>
      <c r="E568" s="4"/>
      <c r="F568" s="4"/>
      <c r="G568" s="4"/>
      <c r="H568" s="4"/>
      <c r="I568" s="4"/>
      <c r="J568" s="4"/>
      <c r="K568" s="4"/>
    </row>
    <row r="569" spans="2:11" ht="12.75">
      <c r="B569" s="1"/>
      <c r="D569" s="4"/>
      <c r="E569" s="4"/>
      <c r="F569" s="4"/>
      <c r="G569" s="4"/>
      <c r="H569" s="4"/>
      <c r="I569" s="4"/>
      <c r="J569" s="4"/>
      <c r="K569" s="4"/>
    </row>
    <row r="570" spans="2:11" ht="12.75">
      <c r="B570" s="1"/>
      <c r="D570" s="4"/>
      <c r="E570" s="4"/>
      <c r="F570" s="4"/>
      <c r="G570" s="4"/>
      <c r="H570" s="4"/>
      <c r="I570" s="4"/>
      <c r="J570" s="4"/>
      <c r="K570" s="4"/>
    </row>
    <row r="571" spans="2:11" ht="12.75">
      <c r="B571" s="1"/>
      <c r="D571" s="4"/>
      <c r="E571" s="4"/>
      <c r="F571" s="4"/>
      <c r="G571" s="4"/>
      <c r="H571" s="4"/>
      <c r="I571" s="4"/>
      <c r="J571" s="4"/>
      <c r="K571" s="4"/>
    </row>
    <row r="572" spans="2:11" ht="12.75">
      <c r="B572" s="1"/>
      <c r="D572" s="4"/>
      <c r="E572" s="4"/>
      <c r="F572" s="4"/>
      <c r="G572" s="4"/>
      <c r="H572" s="4"/>
      <c r="I572" s="4"/>
      <c r="J572" s="4"/>
      <c r="K572" s="4"/>
    </row>
    <row r="573" spans="2:11" ht="12.75">
      <c r="B573" s="1"/>
      <c r="D573" s="4"/>
      <c r="E573" s="4"/>
      <c r="F573" s="4"/>
      <c r="G573" s="4"/>
      <c r="H573" s="4"/>
      <c r="I573" s="4"/>
      <c r="J573" s="4"/>
      <c r="K573" s="4"/>
    </row>
    <row r="574" spans="2:11" ht="12.75">
      <c r="B574" s="1"/>
      <c r="D574" s="4"/>
      <c r="E574" s="4"/>
      <c r="F574" s="4"/>
      <c r="G574" s="4"/>
      <c r="H574" s="4"/>
      <c r="I574" s="4"/>
      <c r="J574" s="4"/>
      <c r="K574" s="4"/>
    </row>
    <row r="575" spans="2:11" ht="12.75">
      <c r="B575" s="1"/>
      <c r="D575" s="4"/>
      <c r="E575" s="4"/>
      <c r="F575" s="4"/>
      <c r="G575" s="4"/>
      <c r="H575" s="4"/>
      <c r="I575" s="4"/>
      <c r="J575" s="4"/>
      <c r="K575" s="4"/>
    </row>
    <row r="576" spans="2:11" ht="12.75">
      <c r="B576" s="1"/>
      <c r="D576" s="4"/>
      <c r="E576" s="4"/>
      <c r="F576" s="4"/>
      <c r="G576" s="4"/>
      <c r="H576" s="4"/>
      <c r="I576" s="4"/>
      <c r="J576" s="4"/>
      <c r="K576" s="4"/>
    </row>
    <row r="577" spans="2:11" ht="12.75">
      <c r="B577" s="1"/>
      <c r="D577" s="4"/>
      <c r="E577" s="4"/>
      <c r="F577" s="4"/>
      <c r="G577" s="4"/>
      <c r="H577" s="4"/>
      <c r="I577" s="4"/>
      <c r="J577" s="4"/>
      <c r="K577" s="4"/>
    </row>
    <row r="578" spans="2:11" ht="12.75">
      <c r="B578" s="1"/>
      <c r="D578" s="4"/>
      <c r="E578" s="4"/>
      <c r="F578" s="4"/>
      <c r="G578" s="4"/>
      <c r="H578" s="4"/>
      <c r="I578" s="4"/>
      <c r="J578" s="4"/>
      <c r="K578" s="4"/>
    </row>
    <row r="579" spans="2:11" ht="12.75">
      <c r="B579" s="1"/>
      <c r="D579" s="4"/>
      <c r="E579" s="4"/>
      <c r="F579" s="4"/>
      <c r="G579" s="4"/>
      <c r="H579" s="4"/>
      <c r="I579" s="4"/>
      <c r="J579" s="4"/>
      <c r="K579" s="4"/>
    </row>
    <row r="580" spans="2:11" ht="12.75">
      <c r="B580" s="1"/>
      <c r="D580" s="4"/>
      <c r="E580" s="4"/>
      <c r="F580" s="4"/>
      <c r="G580" s="4"/>
      <c r="H580" s="4"/>
      <c r="I580" s="4"/>
      <c r="J580" s="4"/>
      <c r="K580" s="4"/>
    </row>
    <row r="581" spans="2:11" ht="12.75">
      <c r="B581" s="1"/>
      <c r="D581" s="4"/>
      <c r="E581" s="4"/>
      <c r="F581" s="4"/>
      <c r="G581" s="4"/>
      <c r="H581" s="4"/>
      <c r="I581" s="4"/>
      <c r="J581" s="4"/>
      <c r="K581" s="4"/>
    </row>
  </sheetData>
  <sheetProtection password="CBE5" sheet="1" objects="1" scenarios="1" selectLockedCells="1" selectUnlockedCells="1"/>
  <protectedRanges>
    <protectedRange sqref="D28:D34 D37 D39:D40 C43:C45 D48:D52" name="Range1"/>
  </protectedRanges>
  <mergeCells count="44">
    <mergeCell ref="B17:K17"/>
    <mergeCell ref="B19:K19"/>
    <mergeCell ref="B21:K21"/>
    <mergeCell ref="B38:C38"/>
    <mergeCell ref="E34:F34"/>
    <mergeCell ref="B30:C30"/>
    <mergeCell ref="E29:F29"/>
    <mergeCell ref="B4:K4"/>
    <mergeCell ref="B7:K7"/>
    <mergeCell ref="B8:K8"/>
    <mergeCell ref="B9:K9"/>
    <mergeCell ref="B10:K10"/>
    <mergeCell ref="B11:K11"/>
    <mergeCell ref="B12:J12"/>
    <mergeCell ref="B15:K15"/>
    <mergeCell ref="B13:I13"/>
    <mergeCell ref="B14:I14"/>
    <mergeCell ref="B16:K16"/>
    <mergeCell ref="B33:C33"/>
    <mergeCell ref="E33:F33"/>
    <mergeCell ref="B32:C32"/>
    <mergeCell ref="E32:F32"/>
    <mergeCell ref="E30:F30"/>
    <mergeCell ref="B28:C28"/>
    <mergeCell ref="B29:C29"/>
    <mergeCell ref="B31:C31"/>
    <mergeCell ref="E31:F31"/>
    <mergeCell ref="E71:F72"/>
    <mergeCell ref="E63:F64"/>
    <mergeCell ref="B34:C34"/>
    <mergeCell ref="B47:C47"/>
    <mergeCell ref="E43:F43"/>
    <mergeCell ref="E44:F44"/>
    <mergeCell ref="E45:F45"/>
    <mergeCell ref="H53:I53"/>
    <mergeCell ref="H35:I35"/>
    <mergeCell ref="B52:C52"/>
    <mergeCell ref="B51:C51"/>
    <mergeCell ref="B49:C49"/>
    <mergeCell ref="B50:C50"/>
    <mergeCell ref="E42:F42"/>
    <mergeCell ref="B39:C39"/>
    <mergeCell ref="B40:C40"/>
    <mergeCell ref="E37:K37"/>
  </mergeCells>
  <hyperlinks>
    <hyperlink ref="B14" r:id="rId1" display="http://www.deere.com/servlet/com.deere.u90785.productcatalog.view.servlets.PublicationsSearchServlet?tM=FR"/>
  </hyperlinks>
  <printOptions/>
  <pageMargins left="0.63" right="0.6" top="0.58" bottom="0.78" header="0.5" footer="0.5"/>
  <pageSetup fitToHeight="2" horizontalDpi="600" verticalDpi="600" orientation="landscape" scale="75" r:id="rId3"/>
  <headerFooter alignWithMargins="0">
    <oddFooter>&amp;C&amp;A</oddFooter>
  </headerFooter>
  <rowBreaks count="1" manualBreakCount="1">
    <brk id="23" max="11" man="1"/>
  </rowBreaks>
  <ignoredErrors>
    <ignoredError sqref="A15:A19 A7:A12" numberStoredAsText="1"/>
  </ignoredErrors>
  <legacyDrawing r:id="rId2"/>
</worksheet>
</file>

<file path=xl/worksheets/sheet2.xml><?xml version="1.0" encoding="utf-8"?>
<worksheet xmlns="http://schemas.openxmlformats.org/spreadsheetml/2006/main" xmlns:r="http://schemas.openxmlformats.org/officeDocument/2006/relationships">
  <sheetPr codeName="Sheet4"/>
  <dimension ref="A1:DQ187"/>
  <sheetViews>
    <sheetView zoomScale="75" zoomScaleNormal="75" workbookViewId="0" topLeftCell="A1">
      <selection activeCell="V24" sqref="V24"/>
    </sheetView>
  </sheetViews>
  <sheetFormatPr defaultColWidth="9.140625" defaultRowHeight="12.75"/>
  <cols>
    <col min="1" max="1" width="9.28125" style="0" bestFit="1" customWidth="1"/>
    <col min="2" max="2" width="16.28125" style="0" customWidth="1"/>
    <col min="4" max="9" width="9.7109375" style="0" customWidth="1"/>
    <col min="10" max="10" width="7.00390625" style="0" customWidth="1"/>
    <col min="11" max="11" width="8.57421875" style="0" customWidth="1"/>
    <col min="12" max="12" width="4.7109375" style="0" bestFit="1" customWidth="1"/>
    <col min="13" max="13" width="5.00390625" style="0" customWidth="1"/>
    <col min="14" max="14" width="14.28125" style="0" bestFit="1" customWidth="1"/>
    <col min="15" max="22" width="9.28125" style="0" bestFit="1" customWidth="1"/>
    <col min="23" max="23" width="3.00390625" style="0" customWidth="1"/>
    <col min="24" max="24" width="4.00390625" style="0" customWidth="1"/>
    <col min="33" max="33" width="2.8515625" style="0" customWidth="1"/>
    <col min="34" max="34" width="7.140625" style="0" customWidth="1"/>
    <col min="35" max="35" width="7.7109375" style="0" customWidth="1"/>
    <col min="36" max="36" width="6.8515625" style="0" customWidth="1"/>
    <col min="38" max="38" width="17.28125" style="0" customWidth="1"/>
    <col min="41" max="41" width="9.8515625" style="0" customWidth="1"/>
    <col min="44" max="44" width="11.00390625" style="0" customWidth="1"/>
    <col min="45" max="51" width="9.8515625" style="30" bestFit="1" customWidth="1"/>
    <col min="52" max="52" width="6.57421875" style="0" customWidth="1"/>
    <col min="53" max="53" width="6.00390625" style="0" bestFit="1" customWidth="1"/>
    <col min="54" max="65" width="9.8515625" style="0" bestFit="1" customWidth="1"/>
    <col min="66" max="66" width="3.8515625" style="0" customWidth="1"/>
    <col min="67" max="67" width="9.421875" style="0" customWidth="1"/>
    <col min="68" max="68" width="9.28125" style="0" customWidth="1"/>
    <col min="70" max="70" width="6.421875" style="0" customWidth="1"/>
    <col min="71" max="71" width="23.140625" style="0" bestFit="1" customWidth="1"/>
    <col min="72" max="72" width="2.7109375" style="0" customWidth="1"/>
    <col min="73" max="73" width="9.00390625" style="30" customWidth="1"/>
    <col min="74" max="90" width="12.8515625" style="30" customWidth="1"/>
    <col min="91" max="92" width="11.28125" style="30" customWidth="1"/>
    <col min="93" max="93" width="12.57421875" style="0" customWidth="1"/>
    <col min="94" max="100" width="11.140625" style="30" customWidth="1"/>
    <col min="101" max="101" width="5.00390625" style="0" customWidth="1"/>
    <col min="102" max="103" width="10.8515625" style="0" customWidth="1"/>
    <col min="104" max="104" width="3.00390625" style="0" customWidth="1"/>
    <col min="105" max="105" width="12.00390625" style="0" customWidth="1"/>
    <col min="106" max="106" width="9.28125" style="0" customWidth="1"/>
    <col min="107" max="107" width="13.140625" style="0" customWidth="1"/>
    <col min="108" max="108" width="9.28125" style="0" customWidth="1"/>
    <col min="109" max="109" width="13.140625" style="0" customWidth="1"/>
    <col min="110" max="110" width="2.140625" style="0" customWidth="1"/>
    <col min="111" max="111" width="9.28125" style="0" customWidth="1"/>
    <col min="112" max="112" width="13.140625" style="0" customWidth="1"/>
    <col min="113" max="113" width="9.28125" style="0" customWidth="1"/>
    <col min="114" max="114" width="15.8515625" style="0" customWidth="1"/>
    <col min="115" max="115" width="3.7109375" style="0" customWidth="1"/>
    <col min="116" max="116" width="15.57421875" style="30" customWidth="1"/>
    <col min="118" max="119" width="10.421875" style="0" customWidth="1"/>
    <col min="120" max="120" width="2.28125" style="0" customWidth="1"/>
    <col min="121" max="121" width="10.8515625" style="0" customWidth="1"/>
  </cols>
  <sheetData>
    <row r="1" spans="1:9" ht="12.75">
      <c r="A1" s="29">
        <v>7630</v>
      </c>
      <c r="B1" s="29">
        <f>IF('7030 Ballast Calculator'!D37=1,"Light (5.5 MPH)","")</f>
      </c>
      <c r="C1" s="29" t="s">
        <v>21</v>
      </c>
      <c r="D1" s="29" t="str">
        <f>IF('7030 Ballast Calculator'!D28&lt;4,"2WD","")</f>
        <v>2WD</v>
      </c>
      <c r="E1" s="37" t="s">
        <v>75</v>
      </c>
      <c r="F1" s="166" t="s">
        <v>73</v>
      </c>
      <c r="G1" s="37" t="s">
        <v>111</v>
      </c>
      <c r="H1" s="32">
        <v>0</v>
      </c>
      <c r="I1" s="32">
        <v>0</v>
      </c>
    </row>
    <row r="2" spans="1:9" ht="12.75">
      <c r="A2" s="29">
        <v>7730</v>
      </c>
      <c r="B2" s="29">
        <f>IF('7030 Ballast Calculator'!D37=1,"Medium (5.0 MPH)","")</f>
      </c>
      <c r="C2" s="29" t="s">
        <v>22</v>
      </c>
      <c r="D2" s="36" t="str">
        <f>IF('7030 Ballast Calculator'!D28&lt;3,"1100","")</f>
        <v>1100</v>
      </c>
      <c r="E2" s="36" t="s">
        <v>74</v>
      </c>
      <c r="F2" s="142" t="s">
        <v>79</v>
      </c>
      <c r="G2" s="36" t="s">
        <v>112</v>
      </c>
      <c r="H2" s="32">
        <v>2</v>
      </c>
      <c r="I2" s="32">
        <v>1</v>
      </c>
    </row>
    <row r="3" spans="1:9" ht="12.75">
      <c r="A3" s="29">
        <v>7830</v>
      </c>
      <c r="B3" s="29">
        <f>IF('7030 Ballast Calculator'!D37=1,"Heavy (4.5 MPH)","")</f>
      </c>
      <c r="D3" s="36">
        <v>1150</v>
      </c>
      <c r="E3" s="36" t="str">
        <f>IF('7030 Ballast Calculator'!D29&gt;1,"IVT","")</f>
        <v>IVT</v>
      </c>
      <c r="F3" s="39"/>
      <c r="G3" s="36" t="s">
        <v>110</v>
      </c>
      <c r="H3" s="32">
        <f>H2+2</f>
        <v>4</v>
      </c>
      <c r="I3" s="32">
        <v>2</v>
      </c>
    </row>
    <row r="4" spans="1:9" ht="12.75">
      <c r="A4" s="29">
        <v>7930</v>
      </c>
      <c r="B4" s="167"/>
      <c r="D4" s="36" t="s">
        <v>76</v>
      </c>
      <c r="E4" s="39"/>
      <c r="F4" s="39"/>
      <c r="G4" s="39"/>
      <c r="H4" s="32">
        <f aca="true" t="shared" si="0" ref="H4:H11">H3+2</f>
        <v>6</v>
      </c>
      <c r="I4" s="32">
        <v>3</v>
      </c>
    </row>
    <row r="5" spans="1:9" ht="12.75">
      <c r="A5" s="220"/>
      <c r="B5" s="40"/>
      <c r="D5" s="39"/>
      <c r="E5" s="39"/>
      <c r="F5" s="39"/>
      <c r="G5" s="39"/>
      <c r="H5" s="32">
        <f t="shared" si="0"/>
        <v>8</v>
      </c>
      <c r="I5" s="30"/>
    </row>
    <row r="6" spans="1:9" ht="12.75">
      <c r="A6" s="10"/>
      <c r="B6" s="40"/>
      <c r="D6" s="39"/>
      <c r="E6" s="39"/>
      <c r="F6" s="39"/>
      <c r="G6" s="39"/>
      <c r="H6" s="32">
        <f t="shared" si="0"/>
        <v>10</v>
      </c>
      <c r="I6" s="30"/>
    </row>
    <row r="7" spans="1:9" ht="12.75">
      <c r="A7" s="10"/>
      <c r="B7" s="40"/>
      <c r="D7" s="39"/>
      <c r="E7" s="39"/>
      <c r="F7" s="39"/>
      <c r="G7" s="39"/>
      <c r="H7" s="32">
        <f t="shared" si="0"/>
        <v>12</v>
      </c>
      <c r="I7" s="30"/>
    </row>
    <row r="8" spans="1:9" ht="12.75">
      <c r="A8" s="10"/>
      <c r="B8" s="40"/>
      <c r="D8" s="39"/>
      <c r="E8" s="39"/>
      <c r="F8" s="39"/>
      <c r="G8" s="39"/>
      <c r="H8" s="32">
        <f t="shared" si="0"/>
        <v>14</v>
      </c>
      <c r="I8" s="30"/>
    </row>
    <row r="9" spans="1:9" ht="12.75">
      <c r="A9" s="10"/>
      <c r="B9" s="40"/>
      <c r="D9" s="39"/>
      <c r="E9" s="39"/>
      <c r="F9" s="39"/>
      <c r="G9" s="39"/>
      <c r="H9" s="32">
        <f t="shared" si="0"/>
        <v>16</v>
      </c>
      <c r="I9" s="30"/>
    </row>
    <row r="10" spans="1:9" ht="12.75">
      <c r="A10" s="10"/>
      <c r="B10" s="40"/>
      <c r="D10" s="39"/>
      <c r="E10" s="39"/>
      <c r="F10" s="39"/>
      <c r="G10" s="39"/>
      <c r="H10" s="32">
        <f>H9+2</f>
        <v>18</v>
      </c>
      <c r="I10" s="30"/>
    </row>
    <row r="11" spans="1:9" ht="12.75">
      <c r="A11" s="10"/>
      <c r="B11" s="40"/>
      <c r="D11" s="39"/>
      <c r="E11" s="39"/>
      <c r="F11" s="39"/>
      <c r="G11" s="39"/>
      <c r="H11" s="32">
        <f t="shared" si="0"/>
        <v>20</v>
      </c>
      <c r="I11" s="30"/>
    </row>
    <row r="12" spans="10:11" ht="12.75">
      <c r="J12" s="274" t="s">
        <v>38</v>
      </c>
      <c r="K12" s="275"/>
    </row>
    <row r="13" spans="10:11" ht="15" customHeight="1">
      <c r="J13" s="29" t="s">
        <v>5</v>
      </c>
      <c r="K13" s="29" t="s">
        <v>6</v>
      </c>
    </row>
    <row r="14" spans="10:11" ht="12.75">
      <c r="J14" s="29">
        <v>7061</v>
      </c>
      <c r="K14" s="29">
        <v>12742</v>
      </c>
    </row>
    <row r="15" spans="1:11" ht="12.75">
      <c r="A15" s="40"/>
      <c r="J15" s="10"/>
      <c r="K15" s="10"/>
    </row>
    <row r="16" spans="1:35" ht="12.75">
      <c r="A16" s="40"/>
      <c r="J16" s="40"/>
      <c r="K16" s="43"/>
      <c r="L16" s="271" t="s">
        <v>62</v>
      </c>
      <c r="M16" s="272"/>
      <c r="N16" s="272"/>
      <c r="O16" s="272"/>
      <c r="P16" s="272"/>
      <c r="Q16" s="272"/>
      <c r="R16" s="272"/>
      <c r="S16" s="272"/>
      <c r="T16" s="272"/>
      <c r="U16" s="272"/>
      <c r="V16" s="272"/>
      <c r="W16" s="272"/>
      <c r="X16" s="272"/>
      <c r="Y16" s="272"/>
      <c r="Z16" s="272"/>
      <c r="AA16" s="272"/>
      <c r="AB16" s="272"/>
      <c r="AC16" s="272"/>
      <c r="AD16" s="272"/>
      <c r="AE16" s="272"/>
      <c r="AF16" s="273"/>
      <c r="AG16" s="47"/>
      <c r="AH16" s="47"/>
      <c r="AI16" s="47"/>
    </row>
    <row r="17" spans="1:35" ht="12.75">
      <c r="A17" s="40"/>
      <c r="J17" s="40"/>
      <c r="K17" s="43"/>
      <c r="L17" s="151"/>
      <c r="M17" s="47"/>
      <c r="N17" s="152"/>
      <c r="O17" s="271" t="s">
        <v>86</v>
      </c>
      <c r="P17" s="272"/>
      <c r="Q17" s="272"/>
      <c r="R17" s="272"/>
      <c r="S17" s="272"/>
      <c r="T17" s="272"/>
      <c r="U17" s="272"/>
      <c r="V17" s="273"/>
      <c r="W17" s="47"/>
      <c r="X17" s="146"/>
      <c r="Y17" s="271" t="s">
        <v>87</v>
      </c>
      <c r="Z17" s="272"/>
      <c r="AA17" s="272"/>
      <c r="AB17" s="272"/>
      <c r="AC17" s="272"/>
      <c r="AD17" s="272"/>
      <c r="AE17" s="272"/>
      <c r="AF17" s="273"/>
      <c r="AG17" s="47"/>
      <c r="AH17" s="271" t="s">
        <v>89</v>
      </c>
      <c r="AI17" s="273"/>
    </row>
    <row r="18" spans="1:35" ht="12.75">
      <c r="A18" s="40"/>
      <c r="J18" s="40"/>
      <c r="K18" s="43"/>
      <c r="L18" s="151"/>
      <c r="M18" s="47"/>
      <c r="N18" s="152"/>
      <c r="O18" s="153">
        <v>1</v>
      </c>
      <c r="P18" s="153">
        <v>2</v>
      </c>
      <c r="Q18" s="153">
        <v>3</v>
      </c>
      <c r="R18" s="153">
        <v>4</v>
      </c>
      <c r="S18" s="153">
        <v>1</v>
      </c>
      <c r="T18" s="153">
        <v>2</v>
      </c>
      <c r="U18" s="153">
        <v>3</v>
      </c>
      <c r="V18" s="153">
        <v>4</v>
      </c>
      <c r="W18" s="47"/>
      <c r="X18" s="152"/>
      <c r="Y18" s="153">
        <v>1</v>
      </c>
      <c r="Z18" s="153">
        <v>2</v>
      </c>
      <c r="AA18" s="153">
        <v>3</v>
      </c>
      <c r="AB18" s="153">
        <v>4</v>
      </c>
      <c r="AC18" s="153">
        <v>1</v>
      </c>
      <c r="AD18" s="153">
        <v>2</v>
      </c>
      <c r="AE18" s="153">
        <v>3</v>
      </c>
      <c r="AF18" s="153">
        <v>4</v>
      </c>
      <c r="AG18" s="47"/>
      <c r="AH18" s="155" t="s">
        <v>6</v>
      </c>
      <c r="AI18" s="156" t="str">
        <f>IF('7030 Ballast Calculator'!D34=1,"Duals","Singles")</f>
        <v>Duals</v>
      </c>
    </row>
    <row r="19" spans="1:35" ht="12.75">
      <c r="A19" s="40"/>
      <c r="L19" s="147"/>
      <c r="M19" s="148"/>
      <c r="N19" s="149"/>
      <c r="O19" s="154" t="s">
        <v>10</v>
      </c>
      <c r="P19" s="154">
        <v>1100</v>
      </c>
      <c r="Q19" s="154">
        <v>1150</v>
      </c>
      <c r="R19" s="154" t="s">
        <v>76</v>
      </c>
      <c r="S19" s="154" t="s">
        <v>10</v>
      </c>
      <c r="T19" s="154">
        <v>1100</v>
      </c>
      <c r="U19" s="154">
        <v>1150</v>
      </c>
      <c r="V19" s="154" t="s">
        <v>76</v>
      </c>
      <c r="W19" s="150"/>
      <c r="X19" s="159"/>
      <c r="Y19" s="154" t="s">
        <v>10</v>
      </c>
      <c r="Z19" s="154">
        <v>1100</v>
      </c>
      <c r="AA19" s="154">
        <v>1150</v>
      </c>
      <c r="AB19" s="154" t="s">
        <v>76</v>
      </c>
      <c r="AC19" s="154" t="s">
        <v>10</v>
      </c>
      <c r="AD19" s="154">
        <v>1100</v>
      </c>
      <c r="AE19" s="154">
        <v>1150</v>
      </c>
      <c r="AF19" s="154" t="s">
        <v>76</v>
      </c>
      <c r="AG19" s="10"/>
      <c r="AH19" s="157">
        <f>HLOOKUP('7030 Ballast Calculator'!D29,'7030 Wheel Data Sheet'!O18:R40,2,FALSE)</f>
        <v>1100</v>
      </c>
      <c r="AI19" s="158" t="s">
        <v>88</v>
      </c>
    </row>
    <row r="20" spans="1:35" ht="12.75">
      <c r="A20" s="40"/>
      <c r="L20" s="29"/>
      <c r="M20" s="36" t="s">
        <v>68</v>
      </c>
      <c r="N20" s="142" t="s">
        <v>69</v>
      </c>
      <c r="O20" s="29" t="s">
        <v>39</v>
      </c>
      <c r="P20" s="29" t="s">
        <v>39</v>
      </c>
      <c r="Q20" s="29" t="s">
        <v>39</v>
      </c>
      <c r="R20" s="29" t="s">
        <v>39</v>
      </c>
      <c r="S20" s="29" t="s">
        <v>40</v>
      </c>
      <c r="T20" s="29" t="s">
        <v>40</v>
      </c>
      <c r="U20" s="29" t="s">
        <v>40</v>
      </c>
      <c r="V20" s="29" t="s">
        <v>40</v>
      </c>
      <c r="W20" s="150"/>
      <c r="X20" s="145"/>
      <c r="Y20" s="29" t="s">
        <v>39</v>
      </c>
      <c r="Z20" s="29" t="s">
        <v>39</v>
      </c>
      <c r="AA20" s="29" t="s">
        <v>39</v>
      </c>
      <c r="AB20" s="29" t="s">
        <v>39</v>
      </c>
      <c r="AC20" s="29" t="s">
        <v>40</v>
      </c>
      <c r="AD20" s="29" t="s">
        <v>40</v>
      </c>
      <c r="AE20" s="29" t="s">
        <v>40</v>
      </c>
      <c r="AF20" s="29" t="s">
        <v>40</v>
      </c>
      <c r="AG20" s="10"/>
      <c r="AH20" s="37" t="s">
        <v>5</v>
      </c>
      <c r="AI20" s="37" t="s">
        <v>6</v>
      </c>
    </row>
    <row r="21" spans="1:35" ht="12.75">
      <c r="A21" s="40"/>
      <c r="L21" s="32">
        <v>1</v>
      </c>
      <c r="M21" s="32">
        <v>46</v>
      </c>
      <c r="N21" s="142" t="s">
        <v>80</v>
      </c>
      <c r="O21" s="143">
        <v>0</v>
      </c>
      <c r="P21" s="143">
        <v>1235</v>
      </c>
      <c r="Q21" s="143">
        <v>1235</v>
      </c>
      <c r="R21" s="143">
        <v>1896</v>
      </c>
      <c r="S21" s="143">
        <v>133</v>
      </c>
      <c r="T21" s="143">
        <v>1195</v>
      </c>
      <c r="U21" s="143">
        <v>1195</v>
      </c>
      <c r="V21" s="143">
        <v>1195</v>
      </c>
      <c r="W21" s="144"/>
      <c r="X21" s="32">
        <v>1</v>
      </c>
      <c r="Y21" s="143">
        <v>0</v>
      </c>
      <c r="Z21" s="143">
        <v>1237</v>
      </c>
      <c r="AA21" s="143">
        <v>1237</v>
      </c>
      <c r="AB21" s="143">
        <v>1899</v>
      </c>
      <c r="AC21" s="143">
        <v>2209</v>
      </c>
      <c r="AD21" s="143">
        <v>3272</v>
      </c>
      <c r="AE21" s="143">
        <v>3272</v>
      </c>
      <c r="AF21" s="143">
        <v>3272</v>
      </c>
      <c r="AG21" s="52"/>
      <c r="AH21" s="36">
        <f>IF('7030 Ballast Calculator'!D34=2,HLOOKUP('7030 Ballast Calculator'!D29,'7030 Wheel Data Sheet'!O18:R40,4,FALSE),HLOOKUP('7030 Ballast Calculator'!D29,'7030 Wheel Data Sheet'!Y18:AB40,4,FALSE))</f>
        <v>1237</v>
      </c>
      <c r="AI21" s="36">
        <f>IF('7030 Ballast Calculator'!D34=2,HLOOKUP('7030 Ballast Calculator'!D29,'7030 Wheel Data Sheet'!S18:V40,4,FALSE),HLOOKUP('7030 Ballast Calculator'!D29,'7030 Wheel Data Sheet'!AC18:AF40,4,FALSE))</f>
        <v>3272</v>
      </c>
    </row>
    <row r="22" spans="1:35" ht="12.75">
      <c r="A22" s="40"/>
      <c r="L22" s="32">
        <v>2</v>
      </c>
      <c r="M22" s="32">
        <v>46</v>
      </c>
      <c r="N22" s="142" t="s">
        <v>81</v>
      </c>
      <c r="O22" s="143">
        <v>0</v>
      </c>
      <c r="P22" s="143">
        <v>1400</v>
      </c>
      <c r="Q22" s="143">
        <v>1400</v>
      </c>
      <c r="R22" s="143">
        <v>2062</v>
      </c>
      <c r="S22" s="143">
        <v>0</v>
      </c>
      <c r="T22" s="143">
        <v>1063</v>
      </c>
      <c r="U22" s="143">
        <v>1063</v>
      </c>
      <c r="V22" s="143">
        <v>1063</v>
      </c>
      <c r="W22" s="144"/>
      <c r="X22" s="32">
        <v>2</v>
      </c>
      <c r="Y22" s="143">
        <v>0</v>
      </c>
      <c r="Z22" s="143">
        <v>1403</v>
      </c>
      <c r="AA22" s="143">
        <v>1403</v>
      </c>
      <c r="AB22" s="143">
        <v>2064</v>
      </c>
      <c r="AC22" s="143">
        <v>1989</v>
      </c>
      <c r="AD22" s="143">
        <v>3052</v>
      </c>
      <c r="AE22" s="143">
        <v>3052</v>
      </c>
      <c r="AF22" s="143">
        <v>3053</v>
      </c>
      <c r="AG22" s="52"/>
      <c r="AH22" s="36">
        <f>IF('7030 Ballast Calculator'!D34=2,HLOOKUP('7030 Ballast Calculator'!D29,'7030 Wheel Data Sheet'!O18:R40,5,FALSE),HLOOKUP('7030 Ballast Calculator'!D29,'7030 Wheel Data Sheet'!Y18:AB40,5,FALSE))</f>
        <v>1403</v>
      </c>
      <c r="AI22" s="36">
        <f>IF('7030 Ballast Calculator'!D34=2,HLOOKUP('7030 Ballast Calculator'!D29,'7030 Wheel Data Sheet'!S18:V40,5,FALSE),HLOOKUP('7030 Ballast Calculator'!D29,'7030 Wheel Data Sheet'!AC18:AF40,5,FALSE))</f>
        <v>3052</v>
      </c>
    </row>
    <row r="23" spans="1:35" ht="12.75">
      <c r="A23" s="40"/>
      <c r="L23" s="32">
        <v>3</v>
      </c>
      <c r="M23" s="32">
        <v>46</v>
      </c>
      <c r="N23" s="142" t="s">
        <v>82</v>
      </c>
      <c r="O23" s="143">
        <v>62</v>
      </c>
      <c r="P23" s="143">
        <v>1268</v>
      </c>
      <c r="Q23" s="143">
        <v>1268</v>
      </c>
      <c r="R23" s="143">
        <v>1930</v>
      </c>
      <c r="S23" s="143">
        <v>111</v>
      </c>
      <c r="T23" s="143">
        <v>1173</v>
      </c>
      <c r="U23" s="143">
        <v>1173</v>
      </c>
      <c r="V23" s="143">
        <v>1173</v>
      </c>
      <c r="W23" s="144"/>
      <c r="X23" s="32">
        <v>3</v>
      </c>
      <c r="Y23" s="143">
        <v>62</v>
      </c>
      <c r="Z23" s="143">
        <v>1270</v>
      </c>
      <c r="AA23" s="143">
        <v>1270</v>
      </c>
      <c r="AB23" s="143">
        <v>1932</v>
      </c>
      <c r="AC23" s="143">
        <v>2209</v>
      </c>
      <c r="AD23" s="143">
        <v>3272</v>
      </c>
      <c r="AE23" s="143">
        <v>3272</v>
      </c>
      <c r="AF23" s="143">
        <v>3272</v>
      </c>
      <c r="AG23" s="52"/>
      <c r="AH23" s="36">
        <f>IF('7030 Ballast Calculator'!D34=2,HLOOKUP('7030 Ballast Calculator'!D29,'7030 Wheel Data Sheet'!O18:R40,6,FALSE),HLOOKUP('7030 Ballast Calculator'!D29,'7030 Wheel Data Sheet'!Y18:AB40,6,FALSE))</f>
        <v>1270</v>
      </c>
      <c r="AI23" s="36">
        <f>IF('7030 Ballast Calculator'!D34=2,HLOOKUP('7030 Ballast Calculator'!D29,'7030 Wheel Data Sheet'!S18:V40,6,FALSE),HLOOKUP('7030 Ballast Calculator'!D29,'7030 Wheel Data Sheet'!AC18:AF40,6,FALSE))</f>
        <v>3272</v>
      </c>
    </row>
    <row r="24" spans="1:35" ht="12.75">
      <c r="A24" s="40"/>
      <c r="L24" s="32">
        <v>4</v>
      </c>
      <c r="M24" s="32">
        <v>46</v>
      </c>
      <c r="N24" s="142" t="s">
        <v>104</v>
      </c>
      <c r="O24" s="143">
        <v>62</v>
      </c>
      <c r="P24" s="143">
        <v>1277</v>
      </c>
      <c r="Q24" s="143">
        <v>1277</v>
      </c>
      <c r="R24" s="143">
        <v>1938</v>
      </c>
      <c r="S24" s="143">
        <v>243</v>
      </c>
      <c r="T24" s="143">
        <v>1305</v>
      </c>
      <c r="U24" s="143">
        <v>1305</v>
      </c>
      <c r="V24" s="143">
        <v>1305</v>
      </c>
      <c r="W24" s="144"/>
      <c r="X24" s="32">
        <v>4</v>
      </c>
      <c r="Y24" s="143">
        <v>62</v>
      </c>
      <c r="Z24" s="143">
        <v>1279</v>
      </c>
      <c r="AA24" s="143">
        <v>1279</v>
      </c>
      <c r="AB24" s="143">
        <v>1941</v>
      </c>
      <c r="AC24" s="143">
        <v>2430</v>
      </c>
      <c r="AD24" s="143">
        <v>3492</v>
      </c>
      <c r="AE24" s="143">
        <v>3492</v>
      </c>
      <c r="AF24" s="143">
        <v>3492</v>
      </c>
      <c r="AG24" s="52"/>
      <c r="AH24" s="36">
        <f>IF('7030 Ballast Calculator'!D34=2,HLOOKUP('7030 Ballast Calculator'!D29,'7030 Wheel Data Sheet'!O18:R40,7,FALSE),HLOOKUP('7030 Ballast Calculator'!D29,'7030 Wheel Data Sheet'!Y18:AB40,7,FALSE))</f>
        <v>1279</v>
      </c>
      <c r="AI24" s="36">
        <f>IF('7030 Ballast Calculator'!D34=2,HLOOKUP('7030 Ballast Calculator'!D29,'7030 Wheel Data Sheet'!S18:V40,7,FALSE),HLOOKUP('7030 Ballast Calculator'!D29,'7030 Wheel Data Sheet'!AC18:AF40,7,FALSE))</f>
        <v>3492</v>
      </c>
    </row>
    <row r="25" spans="1:35" ht="12.75">
      <c r="A25" s="40"/>
      <c r="L25" s="32">
        <v>5</v>
      </c>
      <c r="M25" s="32">
        <v>46</v>
      </c>
      <c r="N25" s="142" t="s">
        <v>105</v>
      </c>
      <c r="O25" s="143">
        <v>62</v>
      </c>
      <c r="P25" s="143">
        <v>1414</v>
      </c>
      <c r="Q25" s="143">
        <v>1414</v>
      </c>
      <c r="R25" s="143">
        <v>2075</v>
      </c>
      <c r="S25" s="143">
        <v>287</v>
      </c>
      <c r="T25" s="143">
        <v>1350</v>
      </c>
      <c r="U25" s="143">
        <v>1350</v>
      </c>
      <c r="V25" s="143">
        <v>1350</v>
      </c>
      <c r="W25" s="144"/>
      <c r="X25" s="32">
        <v>5</v>
      </c>
      <c r="Y25" s="143">
        <v>62</v>
      </c>
      <c r="Z25" s="143">
        <v>1416</v>
      </c>
      <c r="AA25" s="143">
        <v>1416</v>
      </c>
      <c r="AB25" s="143">
        <v>2077</v>
      </c>
      <c r="AC25" s="143">
        <v>2474</v>
      </c>
      <c r="AD25" s="143">
        <v>3537</v>
      </c>
      <c r="AE25" s="143">
        <v>3537</v>
      </c>
      <c r="AF25" s="143">
        <v>3537</v>
      </c>
      <c r="AG25" s="52"/>
      <c r="AH25" s="36">
        <f>IF('7030 Ballast Calculator'!D34=2,HLOOKUP('7030 Ballast Calculator'!D29,'7030 Wheel Data Sheet'!O18:R40,8,FALSE),HLOOKUP('7030 Ballast Calculator'!D29,'7030 Wheel Data Sheet'!Y18:AB40,8,FALSE))</f>
        <v>1416</v>
      </c>
      <c r="AI25" s="36">
        <f>IF('7030 Ballast Calculator'!D34=2,HLOOKUP('7030 Ballast Calculator'!D29,'7030 Wheel Data Sheet'!S18:V40,8,FALSE),HLOOKUP('7030 Ballast Calculator'!D29,'7030 Wheel Data Sheet'!AC18:AF40,8,FALSE))</f>
        <v>3537</v>
      </c>
    </row>
    <row r="26" spans="1:35" ht="12.75">
      <c r="A26" s="40"/>
      <c r="L26" s="32">
        <v>6</v>
      </c>
      <c r="M26" s="32">
        <v>46</v>
      </c>
      <c r="N26" s="142" t="s">
        <v>83</v>
      </c>
      <c r="O26" s="143">
        <v>62</v>
      </c>
      <c r="P26" s="143">
        <v>1277</v>
      </c>
      <c r="Q26" s="143">
        <v>1277</v>
      </c>
      <c r="R26" s="143">
        <v>1938</v>
      </c>
      <c r="S26" s="143">
        <v>243</v>
      </c>
      <c r="T26" s="143">
        <v>1305</v>
      </c>
      <c r="U26" s="143">
        <v>1305</v>
      </c>
      <c r="V26" s="143">
        <v>1305</v>
      </c>
      <c r="W26" s="144"/>
      <c r="X26" s="32">
        <v>4</v>
      </c>
      <c r="Y26" s="143">
        <v>62</v>
      </c>
      <c r="Z26" s="143">
        <v>1279</v>
      </c>
      <c r="AA26" s="143">
        <v>1279</v>
      </c>
      <c r="AB26" s="143">
        <v>1941</v>
      </c>
      <c r="AC26" s="143">
        <v>2430</v>
      </c>
      <c r="AD26" s="143">
        <v>3492</v>
      </c>
      <c r="AE26" s="143">
        <v>3492</v>
      </c>
      <c r="AF26" s="143">
        <v>3492</v>
      </c>
      <c r="AG26" s="52"/>
      <c r="AH26" s="36">
        <f>IF('7030 Ballast Calculator'!D34=2,HLOOKUP('7030 Ballast Calculator'!D29,'7030 Wheel Data Sheet'!O18:R40,9,FALSE),HLOOKUP('7030 Ballast Calculator'!D29,'7030 Wheel Data Sheet'!Y18:AB40,9,FALSE))</f>
        <v>1279</v>
      </c>
      <c r="AI26" s="36">
        <f>IF('7030 Ballast Calculator'!D34=2,HLOOKUP('7030 Ballast Calculator'!D29,'7030 Wheel Data Sheet'!S18:V40,9,FALSE),HLOOKUP('7030 Ballast Calculator'!D29,'7030 Wheel Data Sheet'!AC18:AF40,9,FALSE))</f>
        <v>3492</v>
      </c>
    </row>
    <row r="27" spans="1:35" ht="12.75">
      <c r="A27" s="40"/>
      <c r="L27" s="32">
        <v>7</v>
      </c>
      <c r="M27" s="32">
        <v>46</v>
      </c>
      <c r="N27" s="142" t="s">
        <v>84</v>
      </c>
      <c r="O27" s="143">
        <v>62</v>
      </c>
      <c r="P27" s="143">
        <v>1414</v>
      </c>
      <c r="Q27" s="143">
        <v>1414</v>
      </c>
      <c r="R27" s="143">
        <v>2075</v>
      </c>
      <c r="S27" s="143">
        <v>287</v>
      </c>
      <c r="T27" s="143">
        <v>1350</v>
      </c>
      <c r="U27" s="143">
        <v>1350</v>
      </c>
      <c r="V27" s="143">
        <v>1350</v>
      </c>
      <c r="W27" s="144"/>
      <c r="X27" s="32">
        <v>5</v>
      </c>
      <c r="Y27" s="143">
        <v>62</v>
      </c>
      <c r="Z27" s="143">
        <v>1416</v>
      </c>
      <c r="AA27" s="143">
        <v>1416</v>
      </c>
      <c r="AB27" s="143">
        <v>2077</v>
      </c>
      <c r="AC27" s="143">
        <v>2474</v>
      </c>
      <c r="AD27" s="143">
        <v>3537</v>
      </c>
      <c r="AE27" s="143">
        <v>3537</v>
      </c>
      <c r="AF27" s="143">
        <v>3537</v>
      </c>
      <c r="AG27" s="52"/>
      <c r="AH27" s="36">
        <f>IF('7030 Ballast Calculator'!D34=2,HLOOKUP('7030 Ballast Calculator'!D29,'7030 Wheel Data Sheet'!O18:R40,10,FALSE),HLOOKUP('7030 Ballast Calculator'!D29,'7030 Wheel Data Sheet'!Y18:AB40,10,FALSE))</f>
        <v>1416</v>
      </c>
      <c r="AI27" s="36">
        <f>IF('7030 Ballast Calculator'!D34=2,HLOOKUP('7030 Ballast Calculator'!D29,'7030 Wheel Data Sheet'!S18:V40,10,FALSE),HLOOKUP('7030 Ballast Calculator'!D29,'7030 Wheel Data Sheet'!AC18:AF40,10,FALSE))</f>
        <v>3537</v>
      </c>
    </row>
    <row r="28" spans="1:35" ht="12.75">
      <c r="A28" s="40"/>
      <c r="L28" s="32">
        <v>8</v>
      </c>
      <c r="M28" s="32">
        <v>47</v>
      </c>
      <c r="N28" s="142" t="s">
        <v>58</v>
      </c>
      <c r="O28" s="143">
        <v>124</v>
      </c>
      <c r="P28" s="143">
        <v>1312</v>
      </c>
      <c r="Q28" s="143">
        <v>1312</v>
      </c>
      <c r="R28" s="143">
        <v>1974</v>
      </c>
      <c r="S28" s="143">
        <v>419</v>
      </c>
      <c r="T28" s="143">
        <v>1482</v>
      </c>
      <c r="U28" s="143">
        <v>1482</v>
      </c>
      <c r="V28" s="143">
        <v>1482</v>
      </c>
      <c r="W28" s="144"/>
      <c r="X28" s="32">
        <v>6</v>
      </c>
      <c r="Y28" s="143">
        <v>124</v>
      </c>
      <c r="Z28" s="143">
        <v>1314</v>
      </c>
      <c r="AA28" s="143">
        <v>1314</v>
      </c>
      <c r="AB28" s="143">
        <v>1975</v>
      </c>
      <c r="AC28" s="143">
        <v>2825</v>
      </c>
      <c r="AD28" s="143">
        <v>3889</v>
      </c>
      <c r="AE28" s="143">
        <v>3889</v>
      </c>
      <c r="AF28" s="143">
        <v>3889</v>
      </c>
      <c r="AG28" s="52"/>
      <c r="AH28" s="36">
        <f>IF('7030 Ballast Calculator'!D34=2,HLOOKUP('7030 Ballast Calculator'!D29,'7030 Wheel Data Sheet'!O18:R40,11,FALSE),HLOOKUP('7030 Ballast Calculator'!D29,'7030 Wheel Data Sheet'!Y18:AB40,11,FALSE))</f>
        <v>1314</v>
      </c>
      <c r="AI28" s="36">
        <f>IF('7030 Ballast Calculator'!D34=2,HLOOKUP('7030 Ballast Calculator'!D29,'7030 Wheel Data Sheet'!S18:V40,11,FALSE),HLOOKUP('7030 Ballast Calculator'!D29,'7030 Wheel Data Sheet'!AC18:AF40,11,FALSE))</f>
        <v>3889</v>
      </c>
    </row>
    <row r="29" spans="1:35" ht="12.75">
      <c r="A29" s="40"/>
      <c r="L29" s="32">
        <v>9</v>
      </c>
      <c r="M29" s="32">
        <v>47</v>
      </c>
      <c r="N29" s="142" t="s">
        <v>59</v>
      </c>
      <c r="O29" s="143">
        <v>124</v>
      </c>
      <c r="P29" s="143">
        <v>1577</v>
      </c>
      <c r="Q29" s="143">
        <v>1577</v>
      </c>
      <c r="R29" s="143">
        <v>2238</v>
      </c>
      <c r="S29" s="143">
        <v>265</v>
      </c>
      <c r="T29" s="143">
        <v>2328</v>
      </c>
      <c r="U29" s="143">
        <v>2328</v>
      </c>
      <c r="V29" s="143">
        <v>2328</v>
      </c>
      <c r="W29" s="144"/>
      <c r="X29" s="32">
        <v>7</v>
      </c>
      <c r="Y29" s="143">
        <v>124</v>
      </c>
      <c r="Z29" s="143">
        <v>1579</v>
      </c>
      <c r="AA29" s="143">
        <v>1579</v>
      </c>
      <c r="AB29" s="143">
        <v>2240</v>
      </c>
      <c r="AC29" s="143">
        <v>2584</v>
      </c>
      <c r="AD29" s="143">
        <v>3647</v>
      </c>
      <c r="AE29" s="143">
        <v>3647</v>
      </c>
      <c r="AF29" s="143">
        <v>3647</v>
      </c>
      <c r="AG29" s="52"/>
      <c r="AH29" s="36">
        <f>IF('7030 Ballast Calculator'!D34=2,HLOOKUP('7030 Ballast Calculator'!D29,'7030 Wheel Data Sheet'!O18:R40,12,FALSE),HLOOKUP('7030 Ballast Calculator'!D29,'7030 Wheel Data Sheet'!Y18:AB40,12,FALSE))</f>
        <v>1579</v>
      </c>
      <c r="AI29" s="36">
        <f>IF('7030 Ballast Calculator'!D34=2,HLOOKUP('7030 Ballast Calculator'!D29,'7030 Wheel Data Sheet'!S18:V40,12,FALSE),HLOOKUP('7030 Ballast Calculator'!D29,'7030 Wheel Data Sheet'!AC18:AF40,12,FALSE))</f>
        <v>3647</v>
      </c>
    </row>
    <row r="30" spans="1:35" ht="12.75">
      <c r="A30" s="40"/>
      <c r="L30" s="32">
        <v>10</v>
      </c>
      <c r="M30" s="32">
        <v>47</v>
      </c>
      <c r="N30" s="142" t="s">
        <v>26</v>
      </c>
      <c r="O30" s="143">
        <v>124</v>
      </c>
      <c r="P30" s="143">
        <v>1502</v>
      </c>
      <c r="Q30" s="143">
        <v>1502</v>
      </c>
      <c r="R30" s="143">
        <v>2163</v>
      </c>
      <c r="S30" s="143">
        <v>296</v>
      </c>
      <c r="T30" s="143">
        <v>1358</v>
      </c>
      <c r="U30" s="143">
        <v>1358</v>
      </c>
      <c r="V30" s="143">
        <v>1358</v>
      </c>
      <c r="W30" s="144"/>
      <c r="X30" s="32">
        <v>8</v>
      </c>
      <c r="Y30" s="143">
        <v>124</v>
      </c>
      <c r="Z30" s="143">
        <v>1504</v>
      </c>
      <c r="AA30" s="143">
        <v>1504</v>
      </c>
      <c r="AB30" s="143">
        <v>2165</v>
      </c>
      <c r="AC30" s="143">
        <v>2593</v>
      </c>
      <c r="AD30" s="143">
        <v>3656</v>
      </c>
      <c r="AE30" s="143">
        <v>3656</v>
      </c>
      <c r="AF30" s="143">
        <v>3656</v>
      </c>
      <c r="AG30" s="52"/>
      <c r="AH30" s="36">
        <f>IF('7030 Ballast Calculator'!D34=2,HLOOKUP('7030 Ballast Calculator'!D29,'7030 Wheel Data Sheet'!O18:R40,13,FALSE),HLOOKUP('7030 Ballast Calculator'!D29,'7030 Wheel Data Sheet'!Y18:AB40,13,FALSE))</f>
        <v>1504</v>
      </c>
      <c r="AI30" s="36">
        <f>IF('7030 Ballast Calculator'!D34=2,HLOOKUP('7030 Ballast Calculator'!D29,'7030 Wheel Data Sheet'!S18:V40,13,FALSE),HLOOKUP('7030 Ballast Calculator'!D29,'7030 Wheel Data Sheet'!AC18:AF40,13,FALSE))</f>
        <v>3656</v>
      </c>
    </row>
    <row r="31" spans="1:35" ht="12.75">
      <c r="A31" s="40"/>
      <c r="L31" s="32">
        <v>11</v>
      </c>
      <c r="M31" s="32">
        <v>47</v>
      </c>
      <c r="N31" s="142" t="s">
        <v>27</v>
      </c>
      <c r="O31" s="143">
        <v>124</v>
      </c>
      <c r="P31" s="143">
        <v>1387</v>
      </c>
      <c r="Q31" s="143">
        <v>1387</v>
      </c>
      <c r="R31" s="143">
        <v>2049</v>
      </c>
      <c r="S31" s="143">
        <v>441</v>
      </c>
      <c r="T31" s="143">
        <v>1504</v>
      </c>
      <c r="U31" s="143">
        <v>1504</v>
      </c>
      <c r="V31" s="143">
        <v>1504</v>
      </c>
      <c r="W31" s="144"/>
      <c r="X31" s="32">
        <v>9</v>
      </c>
      <c r="Y31" s="143">
        <v>124</v>
      </c>
      <c r="Z31" s="143">
        <v>1389</v>
      </c>
      <c r="AA31" s="143">
        <v>1389</v>
      </c>
      <c r="AB31" s="143">
        <v>2050</v>
      </c>
      <c r="AC31" s="143">
        <v>2959</v>
      </c>
      <c r="AD31" s="143">
        <v>2258</v>
      </c>
      <c r="AE31" s="143">
        <v>2258</v>
      </c>
      <c r="AF31" s="143">
        <v>2258</v>
      </c>
      <c r="AG31" s="52"/>
      <c r="AH31" s="36">
        <f>IF('7030 Ballast Calculator'!D34=2,HLOOKUP('7030 Ballast Calculator'!D29,'7030 Wheel Data Sheet'!O18:R40,14,FALSE),HLOOKUP('7030 Ballast Calculator'!D29,'7030 Wheel Data Sheet'!Y18:AB40,14,FALSE))</f>
        <v>1389</v>
      </c>
      <c r="AI31" s="36">
        <f>IF('7030 Ballast Calculator'!D34=2,HLOOKUP('7030 Ballast Calculator'!D29,'7030 Wheel Data Sheet'!S18:V40,14,FALSE),HLOOKUP('7030 Ballast Calculator'!D29,'7030 Wheel Data Sheet'!AC18:AF40,14,FALSE))</f>
        <v>2258</v>
      </c>
    </row>
    <row r="32" spans="1:35" ht="12.75">
      <c r="A32" s="40"/>
      <c r="L32" s="32">
        <v>12</v>
      </c>
      <c r="M32" s="32">
        <v>47</v>
      </c>
      <c r="N32" s="29" t="str">
        <f>IF('7030 Ballast Calculator'!D29&gt;1,"620/70R42","")</f>
        <v>620/70R42</v>
      </c>
      <c r="O32" s="143" t="s">
        <v>56</v>
      </c>
      <c r="P32" s="143">
        <v>1533</v>
      </c>
      <c r="Q32" s="143">
        <v>1533</v>
      </c>
      <c r="R32" s="143">
        <v>2194</v>
      </c>
      <c r="S32" s="143" t="s">
        <v>56</v>
      </c>
      <c r="T32" s="143">
        <v>1790</v>
      </c>
      <c r="U32" s="143">
        <v>1790</v>
      </c>
      <c r="V32" s="143">
        <v>1790</v>
      </c>
      <c r="W32" s="144"/>
      <c r="X32" s="32">
        <v>10</v>
      </c>
      <c r="Y32" s="143" t="s">
        <v>56</v>
      </c>
      <c r="Z32" s="143">
        <v>1535</v>
      </c>
      <c r="AA32" s="143">
        <v>1535</v>
      </c>
      <c r="AB32" s="143">
        <v>2196</v>
      </c>
      <c r="AC32" s="143" t="s">
        <v>56</v>
      </c>
      <c r="AD32" s="143">
        <v>4396</v>
      </c>
      <c r="AE32" s="143">
        <v>4396</v>
      </c>
      <c r="AF32" s="143">
        <v>4396</v>
      </c>
      <c r="AG32" s="52"/>
      <c r="AH32" s="36">
        <f>IF('7030 Ballast Calculator'!D34=2,HLOOKUP('7030 Ballast Calculator'!D29,'7030 Wheel Data Sheet'!O18:R40,15,FALSE),HLOOKUP('7030 Ballast Calculator'!D29,'7030 Wheel Data Sheet'!Y18:AB40,15,FALSE))</f>
        <v>1535</v>
      </c>
      <c r="AI32" s="36">
        <f>IF('7030 Ballast Calculator'!D34=2,HLOOKUP('7030 Ballast Calculator'!D29,'7030 Wheel Data Sheet'!S18:V40,15,FALSE),HLOOKUP('7030 Ballast Calculator'!D29,'7030 Wheel Data Sheet'!AC18:AF40,15,FALSE))</f>
        <v>4396</v>
      </c>
    </row>
    <row r="33" spans="1:35" ht="12.75">
      <c r="A33" s="40"/>
      <c r="L33" s="32">
        <v>13</v>
      </c>
      <c r="M33" s="32">
        <v>47</v>
      </c>
      <c r="N33" s="29" t="str">
        <f>IF('7030 Ballast Calculator'!D29&gt;1,"710/70R38","")</f>
        <v>710/70R38</v>
      </c>
      <c r="O33" s="143" t="s">
        <v>56</v>
      </c>
      <c r="P33" s="143">
        <v>1709</v>
      </c>
      <c r="Q33" s="143">
        <v>1709</v>
      </c>
      <c r="R33" s="143">
        <v>2370</v>
      </c>
      <c r="S33" s="143" t="s">
        <v>56</v>
      </c>
      <c r="T33" s="143">
        <v>1835</v>
      </c>
      <c r="U33" s="143">
        <v>1835</v>
      </c>
      <c r="V33" s="143">
        <v>1835</v>
      </c>
      <c r="W33" s="144"/>
      <c r="X33" s="32">
        <v>11</v>
      </c>
      <c r="Y33" s="143" t="s">
        <v>56</v>
      </c>
      <c r="Z33" s="143">
        <v>1711</v>
      </c>
      <c r="AA33" s="143">
        <v>1711</v>
      </c>
      <c r="AB33" s="143">
        <v>2373</v>
      </c>
      <c r="AC33" s="143" t="s">
        <v>56</v>
      </c>
      <c r="AD33" s="143">
        <v>4617</v>
      </c>
      <c r="AE33" s="143">
        <v>4617</v>
      </c>
      <c r="AF33" s="143">
        <v>4617</v>
      </c>
      <c r="AG33" s="52"/>
      <c r="AH33" s="36">
        <f>IF('7030 Ballast Calculator'!D34=2,HLOOKUP('7030 Ballast Calculator'!D29,'7030 Wheel Data Sheet'!O18:R40,16,FALSE),HLOOKUP('7030 Ballast Calculator'!D29,'7030 Wheel Data Sheet'!Y18:AB40,16,FALSE))</f>
        <v>1711</v>
      </c>
      <c r="AI33" s="36">
        <f>IF('7030 Ballast Calculator'!D34=2,HLOOKUP('7030 Ballast Calculator'!D29,'7030 Wheel Data Sheet'!S18:V40,16,FALSE),HLOOKUP('7030 Ballast Calculator'!D29,'7030 Wheel Data Sheet'!AC18:AF40,16,FALSE))</f>
        <v>4617</v>
      </c>
    </row>
    <row r="34" spans="1:35" ht="12.75">
      <c r="A34" s="40"/>
      <c r="L34" s="32">
        <v>14</v>
      </c>
      <c r="M34" s="32">
        <v>48</v>
      </c>
      <c r="N34" s="29" t="str">
        <f>IF('7030 Ballast Calculator'!D29&gt;1,"380/90R54","")</f>
        <v>380/90R54</v>
      </c>
      <c r="O34" s="143" t="s">
        <v>56</v>
      </c>
      <c r="P34" s="143">
        <v>1731</v>
      </c>
      <c r="Q34" s="143">
        <v>1731</v>
      </c>
      <c r="R34" s="143">
        <v>2392</v>
      </c>
      <c r="S34" s="143" t="s">
        <v>56</v>
      </c>
      <c r="T34" s="143">
        <v>1394</v>
      </c>
      <c r="U34" s="143">
        <v>1394</v>
      </c>
      <c r="V34" s="143">
        <v>1394</v>
      </c>
      <c r="W34" s="144"/>
      <c r="X34" s="32">
        <v>12</v>
      </c>
      <c r="Y34" s="143" t="s">
        <v>56</v>
      </c>
      <c r="Z34" s="143">
        <v>1733</v>
      </c>
      <c r="AA34" s="143">
        <v>1733</v>
      </c>
      <c r="AB34" s="143">
        <v>2395</v>
      </c>
      <c r="AC34" s="143" t="s">
        <v>56</v>
      </c>
      <c r="AD34" s="143">
        <v>3779</v>
      </c>
      <c r="AE34" s="143">
        <v>3779</v>
      </c>
      <c r="AF34" s="143">
        <v>3779</v>
      </c>
      <c r="AG34" s="52"/>
      <c r="AH34" s="36">
        <f>IF('7030 Ballast Calculator'!D34=2,HLOOKUP('7030 Ballast Calculator'!D29,'7030 Wheel Data Sheet'!O18:R40,17,FALSE),HLOOKUP('7030 Ballast Calculator'!D29,'7030 Wheel Data Sheet'!Y18:AB40,17,FALSE))</f>
        <v>1733</v>
      </c>
      <c r="AI34" s="36">
        <f>IF('7030 Ballast Calculator'!D34=2,HLOOKUP('7030 Ballast Calculator'!D29,'7030 Wheel Data Sheet'!S18:V40,17,FALSE),HLOOKUP('7030 Ballast Calculator'!D29,'7030 Wheel Data Sheet'!AC18:AF40,17,FALSE))</f>
        <v>3779</v>
      </c>
    </row>
    <row r="35" spans="1:35" ht="12.75">
      <c r="A35" s="40"/>
      <c r="L35" s="32">
        <v>15</v>
      </c>
      <c r="M35" s="32">
        <v>48</v>
      </c>
      <c r="N35" s="29" t="str">
        <f>IF('7030 Ballast Calculator'!D29&gt;1,"480/80R50","")</f>
        <v>480/80R50</v>
      </c>
      <c r="O35" s="143" t="s">
        <v>56</v>
      </c>
      <c r="P35" s="143">
        <v>1735</v>
      </c>
      <c r="Q35" s="143">
        <v>1735</v>
      </c>
      <c r="R35" s="143">
        <v>2397</v>
      </c>
      <c r="S35" s="143" t="s">
        <v>56</v>
      </c>
      <c r="T35" s="143">
        <v>1570</v>
      </c>
      <c r="U35" s="143">
        <v>1570</v>
      </c>
      <c r="V35" s="143">
        <v>1570</v>
      </c>
      <c r="W35" s="144"/>
      <c r="X35" s="32">
        <v>13</v>
      </c>
      <c r="Y35" s="143" t="s">
        <v>56</v>
      </c>
      <c r="Z35" s="143" t="s">
        <v>56</v>
      </c>
      <c r="AA35" s="143" t="s">
        <v>56</v>
      </c>
      <c r="AB35" s="143" t="s">
        <v>56</v>
      </c>
      <c r="AC35" s="143" t="s">
        <v>56</v>
      </c>
      <c r="AD35" s="143" t="s">
        <v>56</v>
      </c>
      <c r="AE35" s="143" t="s">
        <v>56</v>
      </c>
      <c r="AF35" s="143" t="s">
        <v>56</v>
      </c>
      <c r="AG35" s="52"/>
      <c r="AH35" s="36" t="str">
        <f>IF('7030 Ballast Calculator'!D34=2,HLOOKUP('7030 Ballast Calculator'!D29,'7030 Wheel Data Sheet'!O18:R40,18,FALSE),HLOOKUP('7030 Ballast Calculator'!D29,'7030 Wheel Data Sheet'!Y18:AB40,18,FALSE))</f>
        <v>-</v>
      </c>
      <c r="AI35" s="36" t="str">
        <f>IF('7030 Ballast Calculator'!D34=2,HLOOKUP('7030 Ballast Calculator'!D29,'7030 Wheel Data Sheet'!S18:V40,18,FALSE),HLOOKUP('7030 Ballast Calculator'!D29,'7030 Wheel Data Sheet'!AC18:AF40,18,FALSE))</f>
        <v>-</v>
      </c>
    </row>
    <row r="36" spans="1:35" ht="12.75">
      <c r="A36" s="40"/>
      <c r="L36" s="32">
        <v>16</v>
      </c>
      <c r="M36" s="32">
        <v>48</v>
      </c>
      <c r="N36" s="29" t="str">
        <f>IF('7030 Ballast Calculator'!D29&gt;1,"520/85R46","")</f>
        <v>520/85R46</v>
      </c>
      <c r="O36" s="143" t="s">
        <v>56</v>
      </c>
      <c r="P36" s="143">
        <v>1753</v>
      </c>
      <c r="Q36" s="143">
        <v>1753</v>
      </c>
      <c r="R36" s="143">
        <v>2415</v>
      </c>
      <c r="S36" s="143" t="s">
        <v>56</v>
      </c>
      <c r="T36" s="143">
        <v>1702</v>
      </c>
      <c r="U36" s="143">
        <v>1702</v>
      </c>
      <c r="V36" s="143">
        <v>1702</v>
      </c>
      <c r="W36" s="144"/>
      <c r="X36" s="32">
        <v>14</v>
      </c>
      <c r="Y36" s="143" t="s">
        <v>56</v>
      </c>
      <c r="Z36" s="143" t="s">
        <v>56</v>
      </c>
      <c r="AA36" s="143" t="s">
        <v>56</v>
      </c>
      <c r="AB36" s="143" t="s">
        <v>56</v>
      </c>
      <c r="AC36" s="143" t="s">
        <v>56</v>
      </c>
      <c r="AD36" s="143" t="s">
        <v>56</v>
      </c>
      <c r="AE36" s="143" t="s">
        <v>56</v>
      </c>
      <c r="AF36" s="143" t="s">
        <v>56</v>
      </c>
      <c r="AG36" s="52"/>
      <c r="AH36" s="36" t="str">
        <f>IF('7030 Ballast Calculator'!D34=2,HLOOKUP('7030 Ballast Calculator'!D29,'7030 Wheel Data Sheet'!O18:R40,19,FALSE),HLOOKUP('7030 Ballast Calculator'!D29,'7030 Wheel Data Sheet'!Y18:AB40,19,FALSE))</f>
        <v>-</v>
      </c>
      <c r="AI36" s="36" t="str">
        <f>IF('7030 Ballast Calculator'!D34=2,HLOOKUP('7030 Ballast Calculator'!D29,'7030 Wheel Data Sheet'!S18:V40,19,FALSE),HLOOKUP('7030 Ballast Calculator'!D29,'7030 Wheel Data Sheet'!AC18:AF40,19,FALSE))</f>
        <v>-</v>
      </c>
    </row>
    <row r="37" spans="1:35" ht="12.75">
      <c r="A37" s="40"/>
      <c r="L37" s="32">
        <v>17</v>
      </c>
      <c r="M37" s="32">
        <v>48</v>
      </c>
      <c r="N37" s="29" t="str">
        <f>IF('7030 Ballast Calculator'!D29&gt;1,"620/70R46","")</f>
        <v>620/70R46</v>
      </c>
      <c r="O37" s="143" t="s">
        <v>56</v>
      </c>
      <c r="P37" s="143">
        <v>1885</v>
      </c>
      <c r="Q37" s="143">
        <v>1885</v>
      </c>
      <c r="R37" s="143">
        <v>2547</v>
      </c>
      <c r="S37" s="143" t="s">
        <v>56</v>
      </c>
      <c r="T37" s="143">
        <v>1835</v>
      </c>
      <c r="U37" s="143">
        <v>1835</v>
      </c>
      <c r="V37" s="143">
        <v>1835</v>
      </c>
      <c r="W37" s="144"/>
      <c r="X37" s="32">
        <v>15</v>
      </c>
      <c r="Y37" s="143" t="s">
        <v>56</v>
      </c>
      <c r="Z37" s="143" t="s">
        <v>56</v>
      </c>
      <c r="AA37" s="143" t="s">
        <v>56</v>
      </c>
      <c r="AB37" s="143" t="s">
        <v>56</v>
      </c>
      <c r="AC37" s="143" t="s">
        <v>56</v>
      </c>
      <c r="AD37" s="143" t="s">
        <v>56</v>
      </c>
      <c r="AE37" s="143" t="s">
        <v>56</v>
      </c>
      <c r="AF37" s="143" t="s">
        <v>56</v>
      </c>
      <c r="AG37" s="52"/>
      <c r="AH37" s="36" t="str">
        <f>IF('7030 Ballast Calculator'!D34=2,HLOOKUP('7030 Ballast Calculator'!D29,'7030 Wheel Data Sheet'!O18:R40,20,FALSE),HLOOKUP('7030 Ballast Calculator'!D29,'7030 Wheel Data Sheet'!Y18:AB40,20,FALSE))</f>
        <v>-</v>
      </c>
      <c r="AI37" s="36" t="str">
        <f>IF('7030 Ballast Calculator'!D34=2,HLOOKUP('7030 Ballast Calculator'!D29,'7030 Wheel Data Sheet'!S18:V40,20,FALSE),HLOOKUP('7030 Ballast Calculator'!D29,'7030 Wheel Data Sheet'!AC18:AF40,20,FALSE))</f>
        <v>-</v>
      </c>
    </row>
    <row r="38" spans="1:35" ht="12.75">
      <c r="A38" s="40"/>
      <c r="L38" s="32">
        <v>18</v>
      </c>
      <c r="M38" s="32">
        <v>48</v>
      </c>
      <c r="N38" s="29" t="str">
        <f>IF('7030 Ballast Calculator'!D29&gt;1,"650/85R38","")</f>
        <v>650/85R38</v>
      </c>
      <c r="O38" s="143" t="s">
        <v>56</v>
      </c>
      <c r="P38" s="143">
        <v>1885</v>
      </c>
      <c r="Q38" s="143">
        <v>1885</v>
      </c>
      <c r="R38" s="143">
        <v>2547</v>
      </c>
      <c r="S38" s="143" t="s">
        <v>56</v>
      </c>
      <c r="T38" s="143">
        <v>2055</v>
      </c>
      <c r="U38" s="143">
        <v>2055</v>
      </c>
      <c r="V38" s="143">
        <v>2055</v>
      </c>
      <c r="W38" s="144"/>
      <c r="X38" s="32">
        <v>16</v>
      </c>
      <c r="Y38" s="143" t="s">
        <v>56</v>
      </c>
      <c r="Z38" s="143" t="s">
        <v>56</v>
      </c>
      <c r="AA38" s="143" t="s">
        <v>56</v>
      </c>
      <c r="AB38" s="143" t="s">
        <v>56</v>
      </c>
      <c r="AC38" s="143" t="s">
        <v>56</v>
      </c>
      <c r="AD38" s="143" t="s">
        <v>56</v>
      </c>
      <c r="AE38" s="143" t="s">
        <v>56</v>
      </c>
      <c r="AF38" s="143" t="s">
        <v>56</v>
      </c>
      <c r="AG38" s="52"/>
      <c r="AH38" s="36" t="str">
        <f>IF('7030 Ballast Calculator'!D34=2,HLOOKUP('7030 Ballast Calculator'!D29,'7030 Wheel Data Sheet'!O18:R40,21,FALSE),HLOOKUP('7030 Ballast Calculator'!D29,'7030 Wheel Data Sheet'!Y18:AB40,21,FALSE))</f>
        <v>-</v>
      </c>
      <c r="AI38" s="36" t="str">
        <f>IF('7030 Ballast Calculator'!D34=2,HLOOKUP('7030 Ballast Calculator'!D29,'7030 Wheel Data Sheet'!S18:V40,21,FALSE),HLOOKUP('7030 Ballast Calculator'!D29,'7030 Wheel Data Sheet'!AC18:AF40,21,FALSE))</f>
        <v>-</v>
      </c>
    </row>
    <row r="39" spans="1:35" ht="12.75">
      <c r="A39" s="40"/>
      <c r="L39" s="32">
        <v>19</v>
      </c>
      <c r="M39" s="32">
        <v>48</v>
      </c>
      <c r="N39" s="29" t="str">
        <f>IF('7030 Ballast Calculator'!D29&gt;1,"710/70R42","")</f>
        <v>710/70R42</v>
      </c>
      <c r="O39" s="143" t="s">
        <v>56</v>
      </c>
      <c r="P39" s="143">
        <v>1775</v>
      </c>
      <c r="Q39" s="143">
        <v>1775</v>
      </c>
      <c r="R39" s="143">
        <v>2437</v>
      </c>
      <c r="S39" s="143" t="s">
        <v>56</v>
      </c>
      <c r="T39" s="143">
        <v>1989</v>
      </c>
      <c r="U39" s="143">
        <v>1989</v>
      </c>
      <c r="V39" s="143">
        <v>1989</v>
      </c>
      <c r="W39" s="144"/>
      <c r="X39" s="32">
        <v>17</v>
      </c>
      <c r="Y39" s="143" t="s">
        <v>56</v>
      </c>
      <c r="Z39" s="143" t="s">
        <v>56</v>
      </c>
      <c r="AA39" s="143" t="s">
        <v>56</v>
      </c>
      <c r="AB39" s="143" t="s">
        <v>56</v>
      </c>
      <c r="AC39" s="143" t="s">
        <v>56</v>
      </c>
      <c r="AD39" s="143" t="s">
        <v>56</v>
      </c>
      <c r="AE39" s="143" t="s">
        <v>56</v>
      </c>
      <c r="AF39" s="143" t="s">
        <v>56</v>
      </c>
      <c r="AG39" s="52"/>
      <c r="AH39" s="36" t="str">
        <f>IF('7030 Ballast Calculator'!D34=2,HLOOKUP('7030 Ballast Calculator'!D29,'7030 Wheel Data Sheet'!O18:R40,22,FALSE),HLOOKUP('7030 Ballast Calculator'!D29,'7030 Wheel Data Sheet'!Y18:AB40,22,FALSE))</f>
        <v>-</v>
      </c>
      <c r="AI39" s="36" t="str">
        <f>IF('7030 Ballast Calculator'!D34=2,HLOOKUP('7030 Ballast Calculator'!D29,'7030 Wheel Data Sheet'!S18:V40,22,FALSE),HLOOKUP('7030 Ballast Calculator'!D29,'7030 Wheel Data Sheet'!AC18:AF40,22,FALSE))</f>
        <v>-</v>
      </c>
    </row>
    <row r="40" spans="1:35" ht="12.75">
      <c r="A40" s="40"/>
      <c r="L40" s="32">
        <v>20</v>
      </c>
      <c r="M40" s="32">
        <v>48</v>
      </c>
      <c r="N40" s="29" t="str">
        <f>IF('7030 Ballast Calculator'!D29&gt;1,"800/70R38","")</f>
        <v>800/70R38</v>
      </c>
      <c r="O40" s="143" t="s">
        <v>56</v>
      </c>
      <c r="P40" s="143">
        <v>1775</v>
      </c>
      <c r="Q40" s="143">
        <v>1775</v>
      </c>
      <c r="R40" s="143">
        <v>2437</v>
      </c>
      <c r="S40" s="143" t="s">
        <v>56</v>
      </c>
      <c r="T40" s="143">
        <v>2518</v>
      </c>
      <c r="U40" s="143">
        <v>2518</v>
      </c>
      <c r="V40" s="143">
        <v>2518</v>
      </c>
      <c r="W40" s="144"/>
      <c r="X40" s="32">
        <v>18</v>
      </c>
      <c r="Y40" s="143" t="s">
        <v>56</v>
      </c>
      <c r="Z40" s="143" t="s">
        <v>56</v>
      </c>
      <c r="AA40" s="143" t="s">
        <v>56</v>
      </c>
      <c r="AB40" s="143" t="s">
        <v>56</v>
      </c>
      <c r="AC40" s="143" t="s">
        <v>56</v>
      </c>
      <c r="AD40" s="143" t="s">
        <v>56</v>
      </c>
      <c r="AE40" s="143" t="s">
        <v>56</v>
      </c>
      <c r="AF40" s="143" t="s">
        <v>56</v>
      </c>
      <c r="AG40" s="52"/>
      <c r="AH40" s="36" t="str">
        <f>IF('7030 Ballast Calculator'!D34=2,HLOOKUP('7030 Ballast Calculator'!D29,'7030 Wheel Data Sheet'!O18:R40,23,FALSE),HLOOKUP('7030 Ballast Calculator'!D29,'7030 Wheel Data Sheet'!Y18:AB40,23,FALSE))</f>
        <v>-</v>
      </c>
      <c r="AI40" s="36" t="str">
        <f>IF('7030 Ballast Calculator'!D34=2,HLOOKUP('7030 Ballast Calculator'!D29,'7030 Wheel Data Sheet'!S18:V40,23,FALSE),HLOOKUP('7030 Ballast Calculator'!D29,'7030 Wheel Data Sheet'!AC18:AF40,23,FALSE))</f>
        <v>-</v>
      </c>
    </row>
    <row r="42" spans="11:43" ht="18">
      <c r="K42" s="38"/>
      <c r="L42" s="38"/>
      <c r="M42" s="38"/>
      <c r="Z42" s="38"/>
      <c r="AA42" s="38"/>
      <c r="AD42" s="38"/>
      <c r="AE42" s="38"/>
      <c r="AJ42" s="256" t="s">
        <v>14</v>
      </c>
      <c r="AK42" s="257"/>
      <c r="AL42" s="257"/>
      <c r="AM42" s="257"/>
      <c r="AN42" s="257"/>
      <c r="AO42" s="257"/>
      <c r="AP42" s="257"/>
      <c r="AQ42" s="257"/>
    </row>
    <row r="43" spans="11:43" ht="12.75">
      <c r="K43" s="6"/>
      <c r="L43" s="4"/>
      <c r="M43" s="4"/>
      <c r="Z43" s="4"/>
      <c r="AA43" s="4"/>
      <c r="AD43" s="4"/>
      <c r="AE43" s="4"/>
      <c r="AJ43" s="29"/>
      <c r="AK43" s="31" t="s">
        <v>4</v>
      </c>
      <c r="AL43" s="31" t="s">
        <v>129</v>
      </c>
      <c r="AM43" s="28" t="s">
        <v>42</v>
      </c>
      <c r="AN43" s="28" t="s">
        <v>41</v>
      </c>
      <c r="AO43" s="28">
        <v>165</v>
      </c>
      <c r="AP43" s="28">
        <v>450</v>
      </c>
      <c r="AQ43" s="28">
        <v>1400</v>
      </c>
    </row>
    <row r="44" spans="11:43" ht="12.75">
      <c r="K44" s="6"/>
      <c r="L44" s="4"/>
      <c r="M44" s="4"/>
      <c r="Z44" s="4"/>
      <c r="AA44" s="4"/>
      <c r="AD44" s="4"/>
      <c r="AE44" s="4"/>
      <c r="AJ44" s="32">
        <v>1</v>
      </c>
      <c r="AK44" s="31" t="s">
        <v>64</v>
      </c>
      <c r="AL44" s="31" t="s">
        <v>56</v>
      </c>
      <c r="AM44" s="28"/>
      <c r="AN44" s="28"/>
      <c r="AO44" s="28"/>
      <c r="AP44" s="28"/>
      <c r="AQ44" s="28"/>
    </row>
    <row r="45" spans="11:43" ht="12.75">
      <c r="K45" s="6"/>
      <c r="L45" s="4"/>
      <c r="M45" s="4"/>
      <c r="O45" s="4"/>
      <c r="P45" s="4"/>
      <c r="Q45" s="4"/>
      <c r="R45" s="4"/>
      <c r="S45" s="4"/>
      <c r="T45" s="4"/>
      <c r="U45" s="4"/>
      <c r="V45" s="4"/>
      <c r="W45" s="4"/>
      <c r="X45" s="4"/>
      <c r="Y45" s="4"/>
      <c r="Z45" s="4"/>
      <c r="AA45" s="4"/>
      <c r="AB45" s="4"/>
      <c r="AC45" s="4"/>
      <c r="AD45" s="4"/>
      <c r="AE45" s="4"/>
      <c r="AF45" s="4"/>
      <c r="AG45" s="4"/>
      <c r="AH45" s="4"/>
      <c r="AI45" s="4"/>
      <c r="AJ45" s="32">
        <v>2</v>
      </c>
      <c r="AK45" s="33">
        <v>9401</v>
      </c>
      <c r="AL45" s="31" t="s">
        <v>56</v>
      </c>
      <c r="AM45" s="34">
        <v>1</v>
      </c>
      <c r="AN45" s="34"/>
      <c r="AO45" s="34"/>
      <c r="AP45" s="34"/>
      <c r="AQ45" s="34"/>
    </row>
    <row r="46" spans="11:43" ht="12.75">
      <c r="K46" s="6"/>
      <c r="L46" s="4"/>
      <c r="M46" s="4"/>
      <c r="O46" s="4"/>
      <c r="P46" s="4"/>
      <c r="Q46" s="4"/>
      <c r="R46" s="4"/>
      <c r="S46" s="4"/>
      <c r="T46" s="4"/>
      <c r="U46" s="4"/>
      <c r="V46" s="4"/>
      <c r="W46" s="4"/>
      <c r="X46" s="4"/>
      <c r="Y46" s="4"/>
      <c r="Z46" s="4"/>
      <c r="AA46" s="4"/>
      <c r="AB46" s="4"/>
      <c r="AC46" s="4"/>
      <c r="AD46" s="4"/>
      <c r="AE46" s="4"/>
      <c r="AF46" s="4"/>
      <c r="AG46" s="4"/>
      <c r="AH46" s="4"/>
      <c r="AI46" s="4"/>
      <c r="AJ46" s="32">
        <v>3</v>
      </c>
      <c r="AK46" s="33">
        <v>9404</v>
      </c>
      <c r="AL46" s="31" t="s">
        <v>56</v>
      </c>
      <c r="AM46" s="34">
        <v>1</v>
      </c>
      <c r="AN46" s="34">
        <v>4</v>
      </c>
      <c r="AO46" s="34"/>
      <c r="AP46" s="34"/>
      <c r="AQ46" s="34"/>
    </row>
    <row r="47" spans="11:43" ht="12.75">
      <c r="K47" s="6"/>
      <c r="L47" s="4"/>
      <c r="M47" s="4"/>
      <c r="R47" s="4"/>
      <c r="V47" s="4"/>
      <c r="W47" s="4"/>
      <c r="X47" s="4"/>
      <c r="Z47" s="4"/>
      <c r="AA47" s="4"/>
      <c r="AB47" s="4"/>
      <c r="AD47" s="4"/>
      <c r="AE47" s="4"/>
      <c r="AF47" s="4"/>
      <c r="AG47" s="4"/>
      <c r="AH47" s="4"/>
      <c r="AI47" s="4"/>
      <c r="AJ47" s="32">
        <v>4</v>
      </c>
      <c r="AK47" s="33">
        <v>9408</v>
      </c>
      <c r="AL47" s="31" t="s">
        <v>56</v>
      </c>
      <c r="AM47" s="34">
        <v>1</v>
      </c>
      <c r="AN47" s="34">
        <v>8</v>
      </c>
      <c r="AO47" s="34"/>
      <c r="AP47" s="34"/>
      <c r="AQ47" s="34"/>
    </row>
    <row r="48" spans="11:43" ht="12.75">
      <c r="K48" s="6"/>
      <c r="L48" s="4"/>
      <c r="M48" s="4"/>
      <c r="O48" s="10"/>
      <c r="P48" s="10"/>
      <c r="Q48" s="10"/>
      <c r="R48" s="10"/>
      <c r="S48" s="10"/>
      <c r="T48" s="10"/>
      <c r="U48" s="10"/>
      <c r="V48" s="10"/>
      <c r="W48" s="10"/>
      <c r="X48" s="10"/>
      <c r="Y48" s="10"/>
      <c r="Z48" s="4"/>
      <c r="AA48" s="4"/>
      <c r="AB48" s="10"/>
      <c r="AC48" s="10"/>
      <c r="AD48" s="4"/>
      <c r="AE48" s="4"/>
      <c r="AF48" s="10"/>
      <c r="AG48" s="10"/>
      <c r="AH48" s="10"/>
      <c r="AI48" s="10"/>
      <c r="AJ48" s="32">
        <v>5</v>
      </c>
      <c r="AK48" s="33">
        <v>9412</v>
      </c>
      <c r="AL48" s="31" t="s">
        <v>56</v>
      </c>
      <c r="AM48" s="34">
        <v>1</v>
      </c>
      <c r="AN48" s="34">
        <v>12</v>
      </c>
      <c r="AO48" s="34"/>
      <c r="AP48" s="34"/>
      <c r="AQ48" s="34"/>
    </row>
    <row r="49" spans="11:43" ht="12.75">
      <c r="K49" s="6"/>
      <c r="L49" s="4"/>
      <c r="M49" s="4"/>
      <c r="O49" s="17"/>
      <c r="P49" s="17"/>
      <c r="Q49" s="17"/>
      <c r="R49" s="17"/>
      <c r="S49" s="17"/>
      <c r="T49" s="17"/>
      <c r="U49" s="17"/>
      <c r="V49" s="17"/>
      <c r="W49" s="17"/>
      <c r="X49" s="17"/>
      <c r="Y49" s="17"/>
      <c r="Z49" s="4"/>
      <c r="AA49" s="4"/>
      <c r="AB49" s="17"/>
      <c r="AC49" s="17"/>
      <c r="AD49" s="4"/>
      <c r="AE49" s="4"/>
      <c r="AF49" s="17"/>
      <c r="AG49" s="17"/>
      <c r="AH49" s="17"/>
      <c r="AI49" s="17"/>
      <c r="AJ49" s="32">
        <v>6</v>
      </c>
      <c r="AK49" s="33">
        <v>9416</v>
      </c>
      <c r="AL49" s="31" t="s">
        <v>56</v>
      </c>
      <c r="AM49" s="34">
        <v>1</v>
      </c>
      <c r="AN49" s="34">
        <v>16</v>
      </c>
      <c r="AO49" s="34"/>
      <c r="AP49" s="34"/>
      <c r="AQ49" s="34"/>
    </row>
    <row r="50" spans="11:43" ht="12.75">
      <c r="K50" s="6"/>
      <c r="L50" s="4"/>
      <c r="M50" s="4"/>
      <c r="O50" s="4"/>
      <c r="P50" s="4"/>
      <c r="Q50" s="4"/>
      <c r="R50" s="4"/>
      <c r="S50" s="4"/>
      <c r="T50" s="4"/>
      <c r="U50" s="4"/>
      <c r="V50" s="4"/>
      <c r="W50" s="4"/>
      <c r="X50" s="4"/>
      <c r="Y50" s="4"/>
      <c r="Z50" s="4"/>
      <c r="AA50" s="4"/>
      <c r="AB50" s="4"/>
      <c r="AC50" s="4"/>
      <c r="AD50" s="4"/>
      <c r="AE50" s="4"/>
      <c r="AF50" s="4"/>
      <c r="AG50" s="4"/>
      <c r="AH50" s="4"/>
      <c r="AI50" s="4"/>
      <c r="AJ50" s="32">
        <v>7</v>
      </c>
      <c r="AK50" s="33">
        <v>9420</v>
      </c>
      <c r="AL50" s="31" t="s">
        <v>56</v>
      </c>
      <c r="AM50" s="34">
        <v>1</v>
      </c>
      <c r="AN50" s="34">
        <v>20</v>
      </c>
      <c r="AO50" s="34"/>
      <c r="AP50" s="34"/>
      <c r="AQ50" s="34"/>
    </row>
    <row r="51" spans="11:43" ht="12.75">
      <c r="K51" s="6"/>
      <c r="L51" s="4"/>
      <c r="M51" s="4"/>
      <c r="O51" s="4"/>
      <c r="P51" s="4"/>
      <c r="Q51" s="4"/>
      <c r="R51" s="4"/>
      <c r="S51" s="4"/>
      <c r="T51" s="4"/>
      <c r="U51" s="4"/>
      <c r="V51" s="4"/>
      <c r="W51" s="4"/>
      <c r="X51" s="4"/>
      <c r="Y51" s="4"/>
      <c r="Z51" s="4"/>
      <c r="AA51" s="4"/>
      <c r="AB51" s="4"/>
      <c r="AC51" s="4"/>
      <c r="AD51" s="4"/>
      <c r="AE51" s="4"/>
      <c r="AF51" s="4"/>
      <c r="AG51" s="4"/>
      <c r="AH51" s="4"/>
      <c r="AI51" s="4"/>
      <c r="AJ51" s="32">
        <v>8</v>
      </c>
      <c r="AK51" s="33">
        <v>9295</v>
      </c>
      <c r="AL51" s="33" t="s">
        <v>128</v>
      </c>
      <c r="AM51" s="34"/>
      <c r="AN51" s="34"/>
      <c r="AO51" s="34">
        <v>1</v>
      </c>
      <c r="AP51" s="34">
        <v>1</v>
      </c>
      <c r="AQ51" s="34"/>
    </row>
    <row r="52" spans="11:43" ht="12.75">
      <c r="K52" s="6"/>
      <c r="L52" s="4"/>
      <c r="M52" s="4"/>
      <c r="O52" s="4"/>
      <c r="P52" s="4"/>
      <c r="Q52" s="4"/>
      <c r="R52" s="4"/>
      <c r="S52" s="4"/>
      <c r="T52" s="4"/>
      <c r="U52" s="4"/>
      <c r="V52" s="4"/>
      <c r="W52" s="4"/>
      <c r="X52" s="4"/>
      <c r="Y52" s="4"/>
      <c r="Z52" s="4"/>
      <c r="AA52" s="4"/>
      <c r="AB52" s="4"/>
      <c r="AC52" s="4"/>
      <c r="AD52" s="4"/>
      <c r="AE52" s="4"/>
      <c r="AF52" s="4"/>
      <c r="AG52" s="4"/>
      <c r="AH52" s="4"/>
      <c r="AI52" s="4"/>
      <c r="AJ52" s="32">
        <v>9</v>
      </c>
      <c r="AK52" s="33">
        <v>9278</v>
      </c>
      <c r="AL52" s="33" t="s">
        <v>128</v>
      </c>
      <c r="AM52" s="34"/>
      <c r="AN52" s="34"/>
      <c r="AO52" s="34">
        <v>1</v>
      </c>
      <c r="AP52" s="34">
        <v>2</v>
      </c>
      <c r="AQ52" s="34"/>
    </row>
    <row r="53" spans="11:43" ht="12.75">
      <c r="K53" s="6"/>
      <c r="L53" s="4"/>
      <c r="M53" s="4"/>
      <c r="O53" s="4"/>
      <c r="P53" s="4"/>
      <c r="Q53" s="4"/>
      <c r="R53" s="4"/>
      <c r="S53" s="4"/>
      <c r="T53" s="4"/>
      <c r="U53" s="4"/>
      <c r="V53" s="4"/>
      <c r="W53" s="4"/>
      <c r="X53" s="4"/>
      <c r="Y53" s="4"/>
      <c r="Z53" s="4"/>
      <c r="AA53" s="4"/>
      <c r="AB53" s="4"/>
      <c r="AC53" s="4"/>
      <c r="AD53" s="4"/>
      <c r="AE53" s="4"/>
      <c r="AF53" s="4"/>
      <c r="AG53" s="4"/>
      <c r="AH53" s="4"/>
      <c r="AI53" s="4"/>
      <c r="AJ53" s="32">
        <v>10</v>
      </c>
      <c r="AK53" s="33">
        <v>9297</v>
      </c>
      <c r="AL53" s="33" t="s">
        <v>126</v>
      </c>
      <c r="AM53" s="34"/>
      <c r="AN53" s="34"/>
      <c r="AO53" s="34">
        <v>1</v>
      </c>
      <c r="AP53" s="34">
        <v>1</v>
      </c>
      <c r="AQ53" s="34"/>
    </row>
    <row r="54" spans="11:43" ht="12.75">
      <c r="K54" s="6"/>
      <c r="L54" s="4"/>
      <c r="M54" s="4"/>
      <c r="O54" s="4"/>
      <c r="P54" s="4"/>
      <c r="Q54" s="4"/>
      <c r="R54" s="4"/>
      <c r="S54" s="4"/>
      <c r="T54" s="4"/>
      <c r="U54" s="4"/>
      <c r="V54" s="4"/>
      <c r="W54" s="4"/>
      <c r="X54" s="4"/>
      <c r="Y54" s="4"/>
      <c r="Z54" s="4"/>
      <c r="AA54" s="4"/>
      <c r="AB54" s="4"/>
      <c r="AC54" s="4"/>
      <c r="AD54" s="4"/>
      <c r="AE54" s="4"/>
      <c r="AF54" s="4"/>
      <c r="AG54" s="4"/>
      <c r="AH54" s="4"/>
      <c r="AI54" s="4"/>
      <c r="AJ54" s="32">
        <v>11</v>
      </c>
      <c r="AK54" s="33">
        <v>9289</v>
      </c>
      <c r="AL54" s="33" t="s">
        <v>126</v>
      </c>
      <c r="AM54" s="34"/>
      <c r="AN54" s="34"/>
      <c r="AO54" s="34">
        <v>1</v>
      </c>
      <c r="AP54" s="34">
        <v>2</v>
      </c>
      <c r="AQ54" s="34"/>
    </row>
    <row r="55" spans="11:43" ht="12.75">
      <c r="K55" s="6"/>
      <c r="L55" s="4"/>
      <c r="M55" s="4"/>
      <c r="O55" s="4"/>
      <c r="P55" s="4"/>
      <c r="Q55" s="4"/>
      <c r="R55" s="4"/>
      <c r="S55" s="4"/>
      <c r="T55" s="4"/>
      <c r="U55" s="4"/>
      <c r="V55" s="4"/>
      <c r="W55" s="4"/>
      <c r="X55" s="4"/>
      <c r="Y55" s="4"/>
      <c r="Z55" s="4"/>
      <c r="AA55" s="4"/>
      <c r="AB55" s="4"/>
      <c r="AC55" s="4"/>
      <c r="AD55" s="4"/>
      <c r="AE55" s="4"/>
      <c r="AF55" s="4"/>
      <c r="AG55" s="4"/>
      <c r="AH55" s="4"/>
      <c r="AI55" s="4"/>
      <c r="AJ55" s="32">
        <v>12</v>
      </c>
      <c r="AK55" s="33">
        <v>9264</v>
      </c>
      <c r="AL55" s="33" t="s">
        <v>125</v>
      </c>
      <c r="AM55" s="34"/>
      <c r="AN55" s="34"/>
      <c r="AO55" s="34"/>
      <c r="AP55" s="34">
        <v>1</v>
      </c>
      <c r="AQ55" s="34"/>
    </row>
    <row r="56" spans="11:43" ht="12.75">
      <c r="K56" s="6"/>
      <c r="L56" s="4"/>
      <c r="M56" s="4"/>
      <c r="O56" s="4"/>
      <c r="P56" s="4"/>
      <c r="Q56" s="4"/>
      <c r="R56" s="4"/>
      <c r="S56" s="4"/>
      <c r="T56" s="4"/>
      <c r="U56" s="4"/>
      <c r="V56" s="4"/>
      <c r="W56" s="4"/>
      <c r="X56" s="4"/>
      <c r="Y56" s="4"/>
      <c r="Z56" s="4"/>
      <c r="AA56" s="4"/>
      <c r="AB56" s="4"/>
      <c r="AC56" s="4"/>
      <c r="AD56" s="4"/>
      <c r="AE56" s="4"/>
      <c r="AF56" s="4"/>
      <c r="AG56" s="4"/>
      <c r="AH56" s="4"/>
      <c r="AI56" s="4"/>
      <c r="AJ56" s="32">
        <v>13</v>
      </c>
      <c r="AK56" s="33">
        <v>9290</v>
      </c>
      <c r="AL56" s="33" t="s">
        <v>125</v>
      </c>
      <c r="AM56" s="34"/>
      <c r="AN56" s="34"/>
      <c r="AO56" s="34">
        <v>1</v>
      </c>
      <c r="AP56" s="34">
        <v>1</v>
      </c>
      <c r="AQ56" s="34"/>
    </row>
    <row r="57" spans="11:43" ht="12.75">
      <c r="K57" s="6"/>
      <c r="L57" s="4"/>
      <c r="M57" s="4"/>
      <c r="O57" s="4"/>
      <c r="P57" s="4"/>
      <c r="Q57" s="4"/>
      <c r="R57" s="4"/>
      <c r="S57" s="4"/>
      <c r="T57" s="4"/>
      <c r="U57" s="4"/>
      <c r="V57" s="4"/>
      <c r="W57" s="4"/>
      <c r="X57" s="4"/>
      <c r="Y57" s="4"/>
      <c r="Z57" s="4"/>
      <c r="AA57" s="4"/>
      <c r="AB57" s="4"/>
      <c r="AC57" s="4"/>
      <c r="AD57" s="4"/>
      <c r="AE57" s="4"/>
      <c r="AF57" s="4"/>
      <c r="AG57" s="4"/>
      <c r="AH57" s="4"/>
      <c r="AI57" s="4"/>
      <c r="AJ57" s="32">
        <v>14</v>
      </c>
      <c r="AK57" s="33">
        <v>9266</v>
      </c>
      <c r="AL57" s="33" t="s">
        <v>125</v>
      </c>
      <c r="AM57" s="34"/>
      <c r="AN57" s="34"/>
      <c r="AO57" s="34"/>
      <c r="AP57" s="34">
        <v>2</v>
      </c>
      <c r="AQ57" s="34"/>
    </row>
    <row r="58" spans="11:43" ht="12.75">
      <c r="K58" s="6"/>
      <c r="L58" s="4"/>
      <c r="M58" s="4"/>
      <c r="O58" s="4"/>
      <c r="P58" s="4"/>
      <c r="Q58" s="4"/>
      <c r="R58" s="4"/>
      <c r="S58" s="4"/>
      <c r="T58" s="4"/>
      <c r="U58" s="4"/>
      <c r="V58" s="4"/>
      <c r="W58" s="4"/>
      <c r="X58" s="4"/>
      <c r="Y58" s="4"/>
      <c r="Z58" s="4"/>
      <c r="AA58" s="4"/>
      <c r="AB58" s="4"/>
      <c r="AC58" s="4"/>
      <c r="AD58" s="4"/>
      <c r="AE58" s="4"/>
      <c r="AF58" s="4"/>
      <c r="AG58" s="4"/>
      <c r="AH58" s="4"/>
      <c r="AI58" s="4"/>
      <c r="AJ58" s="32">
        <v>15</v>
      </c>
      <c r="AK58" s="33">
        <v>9228</v>
      </c>
      <c r="AL58" s="33" t="s">
        <v>125</v>
      </c>
      <c r="AM58" s="34"/>
      <c r="AN58" s="34"/>
      <c r="AO58" s="34"/>
      <c r="AP58" s="34"/>
      <c r="AQ58" s="34">
        <v>1</v>
      </c>
    </row>
    <row r="59" spans="11:43" ht="12.75">
      <c r="K59" s="6"/>
      <c r="L59" s="4"/>
      <c r="M59" s="4"/>
      <c r="O59" s="4"/>
      <c r="P59" s="4"/>
      <c r="Q59" s="4"/>
      <c r="R59" s="4"/>
      <c r="S59" s="4"/>
      <c r="T59" s="4"/>
      <c r="U59" s="4"/>
      <c r="V59" s="4"/>
      <c r="W59" s="4"/>
      <c r="X59" s="4"/>
      <c r="Y59" s="4"/>
      <c r="Z59" s="4"/>
      <c r="AA59" s="4"/>
      <c r="AB59" s="4"/>
      <c r="AC59" s="4"/>
      <c r="AD59" s="4"/>
      <c r="AE59" s="4"/>
      <c r="AF59" s="4"/>
      <c r="AG59" s="4"/>
      <c r="AH59" s="4"/>
      <c r="AI59" s="4"/>
      <c r="AJ59" s="32">
        <v>16</v>
      </c>
      <c r="AK59" s="33">
        <v>9292</v>
      </c>
      <c r="AL59" s="33" t="s">
        <v>127</v>
      </c>
      <c r="AM59" s="34"/>
      <c r="AN59" s="34"/>
      <c r="AO59" s="34">
        <v>1</v>
      </c>
      <c r="AP59" s="34">
        <v>1</v>
      </c>
      <c r="AQ59" s="34"/>
    </row>
    <row r="60" spans="11:43" ht="12.75">
      <c r="K60" s="6"/>
      <c r="L60" s="4"/>
      <c r="M60" s="4"/>
      <c r="O60" s="4"/>
      <c r="P60" s="4"/>
      <c r="Q60" s="4"/>
      <c r="R60" s="4"/>
      <c r="S60" s="4"/>
      <c r="T60" s="4"/>
      <c r="U60" s="4"/>
      <c r="V60" s="4"/>
      <c r="W60" s="4"/>
      <c r="X60" s="4"/>
      <c r="Y60" s="4"/>
      <c r="Z60" s="4"/>
      <c r="AA60" s="4"/>
      <c r="AB60" s="4"/>
      <c r="AC60" s="4"/>
      <c r="AD60" s="4"/>
      <c r="AE60" s="4"/>
      <c r="AF60" s="4"/>
      <c r="AG60" s="4"/>
      <c r="AH60" s="4"/>
      <c r="AI60" s="4"/>
      <c r="AJ60" s="32">
        <v>17</v>
      </c>
      <c r="AK60" s="33">
        <v>9286</v>
      </c>
      <c r="AL60" s="33" t="s">
        <v>127</v>
      </c>
      <c r="AM60" s="34"/>
      <c r="AN60" s="34"/>
      <c r="AO60" s="34">
        <v>1</v>
      </c>
      <c r="AP60" s="34">
        <v>2</v>
      </c>
      <c r="AQ60" s="34"/>
    </row>
    <row r="61" spans="11:43" ht="12.75">
      <c r="K61" s="6"/>
      <c r="L61" s="4"/>
      <c r="M61" s="4"/>
      <c r="O61" s="4"/>
      <c r="P61" s="4"/>
      <c r="Q61" s="4"/>
      <c r="R61" s="4"/>
      <c r="S61" s="4"/>
      <c r="T61" s="4"/>
      <c r="U61" s="4"/>
      <c r="V61" s="4"/>
      <c r="W61" s="4"/>
      <c r="X61" s="4"/>
      <c r="Y61" s="4"/>
      <c r="Z61" s="4"/>
      <c r="AA61" s="4"/>
      <c r="AB61" s="4"/>
      <c r="AC61" s="4"/>
      <c r="AD61" s="4"/>
      <c r="AE61" s="4"/>
      <c r="AF61" s="4"/>
      <c r="AG61" s="4"/>
      <c r="AH61" s="4"/>
      <c r="AI61" s="4"/>
      <c r="AJ61" s="32">
        <v>18</v>
      </c>
      <c r="AK61" s="33">
        <v>9021</v>
      </c>
      <c r="AL61" s="33" t="s">
        <v>130</v>
      </c>
      <c r="AM61" s="34"/>
      <c r="AN61" s="34"/>
      <c r="AO61" s="34">
        <v>1</v>
      </c>
      <c r="AP61" s="34">
        <v>1</v>
      </c>
      <c r="AQ61" s="34"/>
    </row>
    <row r="62" spans="11:43" ht="12.75">
      <c r="K62" s="6"/>
      <c r="L62" s="4"/>
      <c r="M62" s="4"/>
      <c r="O62" s="4"/>
      <c r="P62" s="4"/>
      <c r="Q62" s="4"/>
      <c r="R62" s="4"/>
      <c r="S62" s="4"/>
      <c r="T62" s="4"/>
      <c r="U62" s="4"/>
      <c r="V62" s="4"/>
      <c r="W62" s="4"/>
      <c r="X62" s="4"/>
      <c r="Y62" s="4"/>
      <c r="Z62" s="4"/>
      <c r="AA62" s="4"/>
      <c r="AB62" s="4"/>
      <c r="AC62" s="4"/>
      <c r="AD62" s="4"/>
      <c r="AE62" s="4"/>
      <c r="AF62" s="4"/>
      <c r="AG62" s="4"/>
      <c r="AH62" s="4"/>
      <c r="AI62" s="4"/>
      <c r="AJ62" s="32">
        <v>19</v>
      </c>
      <c r="AK62" s="33">
        <v>9283</v>
      </c>
      <c r="AL62" s="33" t="s">
        <v>130</v>
      </c>
      <c r="AM62" s="34"/>
      <c r="AN62" s="34"/>
      <c r="AO62" s="34">
        <v>1</v>
      </c>
      <c r="AP62" s="34">
        <v>2</v>
      </c>
      <c r="AQ62" s="34"/>
    </row>
    <row r="63" spans="11:43" ht="12.75">
      <c r="K63" s="6"/>
      <c r="L63" s="4"/>
      <c r="M63" s="4"/>
      <c r="Z63" s="4"/>
      <c r="AA63" s="4"/>
      <c r="AD63" s="4"/>
      <c r="AE63" s="4"/>
      <c r="AJ63" s="10"/>
      <c r="AK63" s="6"/>
      <c r="AL63" s="6"/>
      <c r="AM63" s="4"/>
      <c r="AN63" s="4"/>
      <c r="AO63" s="4"/>
      <c r="AP63" s="4"/>
      <c r="AQ63" s="4"/>
    </row>
    <row r="64" spans="11:68" ht="12.75">
      <c r="K64" s="5"/>
      <c r="L64" s="5"/>
      <c r="M64" s="5"/>
      <c r="O64" s="4"/>
      <c r="P64" s="4"/>
      <c r="Q64" s="4"/>
      <c r="R64" s="4"/>
      <c r="S64" s="4"/>
      <c r="T64" s="4"/>
      <c r="U64" s="4"/>
      <c r="V64" s="4"/>
      <c r="W64" s="4"/>
      <c r="X64" s="4"/>
      <c r="Y64" s="4"/>
      <c r="Z64" s="6"/>
      <c r="AA64" s="6"/>
      <c r="AB64" s="4"/>
      <c r="AC64" s="4"/>
      <c r="AD64" s="6"/>
      <c r="AE64" s="6"/>
      <c r="AF64" s="4"/>
      <c r="AG64" s="4"/>
      <c r="AH64" s="4"/>
      <c r="AI64" s="4"/>
      <c r="AR64" s="260" t="s">
        <v>108</v>
      </c>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row>
    <row r="65" spans="11:68" ht="12.75">
      <c r="K65" s="5"/>
      <c r="L65" s="5"/>
      <c r="M65" s="5"/>
      <c r="O65" s="4"/>
      <c r="P65" s="4"/>
      <c r="Q65" s="4"/>
      <c r="R65" s="4"/>
      <c r="S65" s="4"/>
      <c r="T65" s="4"/>
      <c r="U65" s="4"/>
      <c r="V65" s="4"/>
      <c r="W65" s="4"/>
      <c r="X65" s="4"/>
      <c r="Y65" s="4"/>
      <c r="Z65" s="6"/>
      <c r="AA65" s="6"/>
      <c r="AB65" s="4"/>
      <c r="AC65" s="4"/>
      <c r="AD65" s="6"/>
      <c r="AE65" s="6"/>
      <c r="AF65" s="4"/>
      <c r="AG65" s="4"/>
      <c r="AH65" s="4"/>
      <c r="AI65" s="4"/>
      <c r="AR65" s="162"/>
      <c r="AS65" s="269" t="s">
        <v>131</v>
      </c>
      <c r="AT65" s="269"/>
      <c r="AU65" s="269"/>
      <c r="AV65" s="269"/>
      <c r="AW65" s="269"/>
      <c r="AX65" s="269"/>
      <c r="AY65" s="270"/>
      <c r="BB65" s="260" t="s">
        <v>72</v>
      </c>
      <c r="BC65" s="260"/>
      <c r="BD65" s="260"/>
      <c r="BE65" s="260"/>
      <c r="BF65" s="260"/>
      <c r="BG65" s="260"/>
      <c r="BH65" s="260"/>
      <c r="BI65" s="260"/>
      <c r="BJ65" s="260"/>
      <c r="BK65" s="260"/>
      <c r="BL65" s="260"/>
      <c r="BM65" s="260"/>
      <c r="BO65" s="261" t="s">
        <v>63</v>
      </c>
      <c r="BP65" s="262"/>
    </row>
    <row r="66" spans="44:70" ht="12.75" customHeight="1">
      <c r="AR66" s="163"/>
      <c r="AS66" s="32" t="s">
        <v>28</v>
      </c>
      <c r="AT66" s="32" t="s">
        <v>30</v>
      </c>
      <c r="AU66" s="32" t="s">
        <v>31</v>
      </c>
      <c r="AV66" s="32" t="s">
        <v>33</v>
      </c>
      <c r="AW66" s="32" t="s">
        <v>32</v>
      </c>
      <c r="AX66" s="32" t="s">
        <v>34</v>
      </c>
      <c r="AY66" s="32" t="s">
        <v>35</v>
      </c>
      <c r="BB66" s="36" t="s">
        <v>80</v>
      </c>
      <c r="BC66" s="36" t="s">
        <v>81</v>
      </c>
      <c r="BD66" s="36" t="s">
        <v>82</v>
      </c>
      <c r="BE66" s="36" t="s">
        <v>83</v>
      </c>
      <c r="BF66" s="36" t="s">
        <v>84</v>
      </c>
      <c r="BG66" s="36" t="s">
        <v>58</v>
      </c>
      <c r="BH66" s="36" t="s">
        <v>59</v>
      </c>
      <c r="BI66" s="36" t="s">
        <v>26</v>
      </c>
      <c r="BJ66" s="36" t="s">
        <v>27</v>
      </c>
      <c r="BK66" s="36" t="s">
        <v>57</v>
      </c>
      <c r="BL66" s="36" t="s">
        <v>28</v>
      </c>
      <c r="BM66" s="36" t="s">
        <v>29</v>
      </c>
      <c r="BO66" s="263" t="str">
        <f>VLOOKUP('7030 Ballast Calculator'!D32,'7030 Wheel Data Sheet'!L21:N40,3,FALSE)</f>
        <v>480/80R46</v>
      </c>
      <c r="BP66" s="264"/>
      <c r="BR66" s="10"/>
    </row>
    <row r="67" spans="44:70" ht="12.75" customHeight="1">
      <c r="AR67" s="32">
        <v>10000</v>
      </c>
      <c r="AS67" s="55">
        <v>8</v>
      </c>
      <c r="AT67" s="55">
        <v>11</v>
      </c>
      <c r="AU67" s="55">
        <v>9</v>
      </c>
      <c r="AV67" s="55">
        <v>8</v>
      </c>
      <c r="AW67" s="55">
        <v>8</v>
      </c>
      <c r="AX67" s="55">
        <v>8</v>
      </c>
      <c r="AY67" s="55">
        <v>8</v>
      </c>
      <c r="BA67" s="32">
        <v>10000</v>
      </c>
      <c r="BB67" s="55">
        <v>10</v>
      </c>
      <c r="BC67" s="160">
        <v>9</v>
      </c>
      <c r="BD67" s="55">
        <v>6</v>
      </c>
      <c r="BE67" s="55">
        <v>6</v>
      </c>
      <c r="BF67" s="55">
        <v>6</v>
      </c>
      <c r="BG67" s="55">
        <v>10</v>
      </c>
      <c r="BH67" s="55">
        <v>6</v>
      </c>
      <c r="BI67" s="55">
        <v>6</v>
      </c>
      <c r="BJ67" s="55">
        <v>6</v>
      </c>
      <c r="BK67" s="55">
        <v>6</v>
      </c>
      <c r="BL67" s="55">
        <v>6</v>
      </c>
      <c r="BM67" s="55">
        <v>6</v>
      </c>
      <c r="BO67" s="32">
        <v>10000</v>
      </c>
      <c r="BP67" s="29">
        <f>IF('7030 Ballast Calculator'!D34=1,HLOOKUP('7030 Ballast Calculator'!E32,BB66:BM97,2,FALSE),HLOOKUP('7030 Ballast Calculator'!E32,AS66:AY97,2,FALSE))</f>
        <v>6</v>
      </c>
      <c r="BR67" s="10"/>
    </row>
    <row r="68" spans="44:70" ht="12.75" customHeight="1">
      <c r="AR68" s="35">
        <v>10500</v>
      </c>
      <c r="AS68" s="55">
        <v>8</v>
      </c>
      <c r="AT68" s="55">
        <v>13</v>
      </c>
      <c r="AU68" s="55">
        <v>10</v>
      </c>
      <c r="AV68" s="55">
        <v>8</v>
      </c>
      <c r="AW68" s="55">
        <v>8</v>
      </c>
      <c r="AX68" s="55">
        <v>8</v>
      </c>
      <c r="AY68" s="55">
        <v>8</v>
      </c>
      <c r="AZ68" s="5"/>
      <c r="BA68" s="35">
        <v>10500</v>
      </c>
      <c r="BB68" s="55">
        <v>11</v>
      </c>
      <c r="BC68" s="160">
        <v>10</v>
      </c>
      <c r="BD68" s="55">
        <v>7</v>
      </c>
      <c r="BE68" s="55">
        <v>6</v>
      </c>
      <c r="BF68" s="55">
        <v>6</v>
      </c>
      <c r="BG68" s="55">
        <v>10</v>
      </c>
      <c r="BH68" s="55">
        <v>7</v>
      </c>
      <c r="BI68" s="55">
        <v>6</v>
      </c>
      <c r="BJ68" s="55">
        <v>6</v>
      </c>
      <c r="BK68" s="55">
        <v>6</v>
      </c>
      <c r="BL68" s="55">
        <v>6</v>
      </c>
      <c r="BM68" s="55">
        <v>6</v>
      </c>
      <c r="BN68" s="5"/>
      <c r="BO68" s="35">
        <v>10500</v>
      </c>
      <c r="BP68" s="29">
        <f>IF('7030 Ballast Calculator'!D34=1,HLOOKUP('7030 Ballast Calculator'!E32,'7030 Wheel Data Sheet'!BB66:BM97,3,FALSE),HLOOKUP('7030 Ballast Calculator'!E32,AS66:AY97,3,FALSE))</f>
        <v>6</v>
      </c>
      <c r="BR68" s="10"/>
    </row>
    <row r="69" spans="44:70" ht="12.75" customHeight="1">
      <c r="AR69" s="35">
        <v>11000</v>
      </c>
      <c r="AS69" s="55">
        <v>8</v>
      </c>
      <c r="AT69" s="55">
        <v>13</v>
      </c>
      <c r="AU69" s="55">
        <v>11</v>
      </c>
      <c r="AV69" s="55">
        <v>9</v>
      </c>
      <c r="AW69" s="55">
        <v>8</v>
      </c>
      <c r="AX69" s="55">
        <v>8</v>
      </c>
      <c r="AY69" s="55">
        <v>8</v>
      </c>
      <c r="AZ69" s="5"/>
      <c r="BA69" s="35">
        <v>11000</v>
      </c>
      <c r="BB69" s="55">
        <v>12</v>
      </c>
      <c r="BC69" s="160">
        <v>11</v>
      </c>
      <c r="BD69" s="55">
        <v>8</v>
      </c>
      <c r="BE69" s="55">
        <v>6</v>
      </c>
      <c r="BF69" s="55">
        <v>6</v>
      </c>
      <c r="BG69" s="55">
        <v>11</v>
      </c>
      <c r="BH69" s="55">
        <v>7</v>
      </c>
      <c r="BI69" s="55">
        <v>6</v>
      </c>
      <c r="BJ69" s="55">
        <v>6</v>
      </c>
      <c r="BK69" s="55">
        <v>6</v>
      </c>
      <c r="BL69" s="55">
        <v>6</v>
      </c>
      <c r="BM69" s="55">
        <v>7</v>
      </c>
      <c r="BN69" s="5"/>
      <c r="BO69" s="35">
        <v>11000</v>
      </c>
      <c r="BP69" s="29">
        <f>IF('7030 Ballast Calculator'!D34=1,HLOOKUP('7030 Ballast Calculator'!E32,'7030 Wheel Data Sheet'!BB66:BM97,4,FALSE),HLOOKUP('7030 Ballast Calculator'!E32,AS66:AY97,4,FALSE))</f>
        <v>6</v>
      </c>
      <c r="BR69" s="10"/>
    </row>
    <row r="70" spans="44:70" ht="12.75" customHeight="1">
      <c r="AR70" s="35">
        <v>11500</v>
      </c>
      <c r="AS70" s="55">
        <v>8</v>
      </c>
      <c r="AT70" s="55">
        <v>14</v>
      </c>
      <c r="AU70" s="55">
        <v>12</v>
      </c>
      <c r="AV70" s="55">
        <v>10</v>
      </c>
      <c r="AW70" s="55">
        <v>8</v>
      </c>
      <c r="AX70" s="55">
        <v>8</v>
      </c>
      <c r="AY70" s="55">
        <v>8</v>
      </c>
      <c r="AZ70" s="5"/>
      <c r="BA70" s="35">
        <v>11500</v>
      </c>
      <c r="BB70" s="55">
        <v>13</v>
      </c>
      <c r="BC70" s="160">
        <v>11</v>
      </c>
      <c r="BD70" s="55">
        <v>8</v>
      </c>
      <c r="BE70" s="55">
        <v>6</v>
      </c>
      <c r="BF70" s="55">
        <v>6</v>
      </c>
      <c r="BG70" s="55">
        <v>12</v>
      </c>
      <c r="BH70" s="55">
        <v>8</v>
      </c>
      <c r="BI70" s="55">
        <v>6</v>
      </c>
      <c r="BJ70" s="55">
        <v>6</v>
      </c>
      <c r="BK70" s="55">
        <v>6</v>
      </c>
      <c r="BL70" s="55">
        <v>6</v>
      </c>
      <c r="BM70" s="55">
        <v>7</v>
      </c>
      <c r="BN70" s="5"/>
      <c r="BO70" s="35">
        <v>11500</v>
      </c>
      <c r="BP70" s="29">
        <f>IF('7030 Ballast Calculator'!D34=1,HLOOKUP('7030 Ballast Calculator'!E32,'7030 Wheel Data Sheet'!BB66:BM97,5,FALSE),HLOOKUP('7030 Ballast Calculator'!E32,AS66:AY97,5,FALSE))</f>
        <v>6</v>
      </c>
      <c r="BR70" s="10"/>
    </row>
    <row r="71" spans="44:70" ht="12.75" customHeight="1">
      <c r="AR71" s="35">
        <v>12000</v>
      </c>
      <c r="AS71" s="55">
        <v>8</v>
      </c>
      <c r="AT71" s="55">
        <v>15</v>
      </c>
      <c r="AU71" s="55">
        <v>12</v>
      </c>
      <c r="AV71" s="55">
        <v>10</v>
      </c>
      <c r="AW71" s="55">
        <v>8</v>
      </c>
      <c r="AX71" s="55">
        <v>8</v>
      </c>
      <c r="AY71" s="55">
        <v>8</v>
      </c>
      <c r="AZ71" s="5"/>
      <c r="BA71" s="35">
        <v>12000</v>
      </c>
      <c r="BB71" s="55">
        <v>13</v>
      </c>
      <c r="BC71" s="160">
        <v>12</v>
      </c>
      <c r="BD71" s="55">
        <v>9</v>
      </c>
      <c r="BE71" s="55">
        <v>6</v>
      </c>
      <c r="BF71" s="55">
        <v>6</v>
      </c>
      <c r="BG71" s="55">
        <v>13</v>
      </c>
      <c r="BH71" s="55">
        <v>9</v>
      </c>
      <c r="BI71" s="55">
        <v>6</v>
      </c>
      <c r="BJ71" s="55">
        <v>6</v>
      </c>
      <c r="BK71" s="55">
        <v>6</v>
      </c>
      <c r="BL71" s="55">
        <v>6</v>
      </c>
      <c r="BM71" s="55">
        <v>8</v>
      </c>
      <c r="BN71" s="5"/>
      <c r="BO71" s="35">
        <v>12000</v>
      </c>
      <c r="BP71" s="29">
        <f>IF('7030 Ballast Calculator'!D34=1,HLOOKUP('7030 Ballast Calculator'!E32,'7030 Wheel Data Sheet'!BB66:BM97,6,FALSE),HLOOKUP('7030 Ballast Calculator'!E32,AS66:AY97,6,FALSE))</f>
        <v>6</v>
      </c>
      <c r="BR71" s="10"/>
    </row>
    <row r="72" spans="44:70" ht="12.75" customHeight="1">
      <c r="AR72" s="35">
        <v>12500</v>
      </c>
      <c r="AS72" s="55">
        <v>9</v>
      </c>
      <c r="AT72" s="55">
        <v>16</v>
      </c>
      <c r="AU72" s="55">
        <v>13</v>
      </c>
      <c r="AV72" s="55">
        <v>11</v>
      </c>
      <c r="AW72" s="55">
        <v>8</v>
      </c>
      <c r="AX72" s="55">
        <v>8</v>
      </c>
      <c r="AY72" s="55">
        <v>8</v>
      </c>
      <c r="AZ72" s="5"/>
      <c r="BA72" s="35">
        <v>12500</v>
      </c>
      <c r="BB72" s="55">
        <v>15</v>
      </c>
      <c r="BC72" s="160">
        <v>13</v>
      </c>
      <c r="BD72" s="55">
        <v>10</v>
      </c>
      <c r="BE72" s="55">
        <v>7</v>
      </c>
      <c r="BF72" s="55">
        <v>6</v>
      </c>
      <c r="BG72" s="55">
        <v>14</v>
      </c>
      <c r="BH72" s="55">
        <v>10</v>
      </c>
      <c r="BI72" s="55">
        <v>6</v>
      </c>
      <c r="BJ72" s="55">
        <v>6</v>
      </c>
      <c r="BK72" s="55">
        <v>6</v>
      </c>
      <c r="BL72" s="55">
        <v>6</v>
      </c>
      <c r="BM72" s="55">
        <v>9</v>
      </c>
      <c r="BN72" s="5"/>
      <c r="BO72" s="35">
        <v>12500</v>
      </c>
      <c r="BP72" s="29">
        <f>IF('7030 Ballast Calculator'!D34=1,HLOOKUP('7030 Ballast Calculator'!E32,'7030 Wheel Data Sheet'!BB66:BM97,7,FALSE),HLOOKUP('7030 Ballast Calculator'!E32,AS66:AY97,7,FALSE))</f>
        <v>6</v>
      </c>
      <c r="BR72" s="10"/>
    </row>
    <row r="73" spans="44:70" ht="12.75" customHeight="1">
      <c r="AR73" s="35">
        <v>13000</v>
      </c>
      <c r="AS73" s="55">
        <v>10</v>
      </c>
      <c r="AT73" s="55">
        <v>17</v>
      </c>
      <c r="AU73" s="55">
        <v>14</v>
      </c>
      <c r="AV73" s="55">
        <v>12</v>
      </c>
      <c r="AW73" s="55">
        <v>9</v>
      </c>
      <c r="AX73" s="55">
        <v>9</v>
      </c>
      <c r="AY73" s="55">
        <v>8</v>
      </c>
      <c r="AZ73" s="5"/>
      <c r="BA73" s="35">
        <v>13000</v>
      </c>
      <c r="BB73" s="55">
        <v>16</v>
      </c>
      <c r="BC73" s="160">
        <v>14</v>
      </c>
      <c r="BD73" s="55">
        <v>10</v>
      </c>
      <c r="BE73" s="55">
        <v>8</v>
      </c>
      <c r="BF73" s="55">
        <v>6</v>
      </c>
      <c r="BG73" s="55">
        <v>15</v>
      </c>
      <c r="BH73" s="55">
        <v>10</v>
      </c>
      <c r="BI73" s="55">
        <v>7</v>
      </c>
      <c r="BJ73" s="55">
        <v>6</v>
      </c>
      <c r="BK73" s="55">
        <v>6</v>
      </c>
      <c r="BL73" s="55">
        <v>6</v>
      </c>
      <c r="BM73" s="55">
        <v>10</v>
      </c>
      <c r="BN73" s="5"/>
      <c r="BO73" s="35">
        <v>13000</v>
      </c>
      <c r="BP73" s="29">
        <f>IF('7030 Ballast Calculator'!D34=1,HLOOKUP('7030 Ballast Calculator'!E32,'7030 Wheel Data Sheet'!BB66:BM97,8,FALSE),HLOOKUP('7030 Ballast Calculator'!E32,AS66:AY97,8,FALSE))</f>
        <v>7</v>
      </c>
      <c r="BR73" s="10"/>
    </row>
    <row r="74" spans="44:70" ht="12.75" customHeight="1">
      <c r="AR74" s="35">
        <v>13500</v>
      </c>
      <c r="AS74" s="55">
        <v>10</v>
      </c>
      <c r="AT74" s="55">
        <v>17</v>
      </c>
      <c r="AU74" s="55">
        <v>15</v>
      </c>
      <c r="AV74" s="55">
        <v>13</v>
      </c>
      <c r="AW74" s="55">
        <v>10</v>
      </c>
      <c r="AX74" s="55">
        <v>10</v>
      </c>
      <c r="AY74" s="55">
        <v>8</v>
      </c>
      <c r="AZ74" s="5"/>
      <c r="BA74" s="35">
        <v>13500</v>
      </c>
      <c r="BB74" s="55">
        <v>16</v>
      </c>
      <c r="BC74" s="160">
        <v>15</v>
      </c>
      <c r="BD74" s="55">
        <v>10</v>
      </c>
      <c r="BE74" s="55">
        <v>8</v>
      </c>
      <c r="BF74" s="55">
        <v>6</v>
      </c>
      <c r="BG74" s="55">
        <v>16</v>
      </c>
      <c r="BH74" s="55">
        <v>11</v>
      </c>
      <c r="BI74" s="55">
        <v>7</v>
      </c>
      <c r="BJ74" s="55">
        <v>6</v>
      </c>
      <c r="BK74" s="55">
        <v>6</v>
      </c>
      <c r="BL74" s="55">
        <v>6</v>
      </c>
      <c r="BM74" s="55">
        <v>10</v>
      </c>
      <c r="BN74" s="5"/>
      <c r="BO74" s="35">
        <v>13500</v>
      </c>
      <c r="BP74" s="29">
        <f>IF('7030 Ballast Calculator'!D34=1,HLOOKUP('7030 Ballast Calculator'!E32,'7030 Wheel Data Sheet'!BB66:BM97,9,FALSE),HLOOKUP('7030 Ballast Calculator'!E32,AS66:AY97,9,FALSE))</f>
        <v>7</v>
      </c>
      <c r="BR74" s="10"/>
    </row>
    <row r="75" spans="44:70" ht="12.75" customHeight="1">
      <c r="AR75" s="35">
        <v>14000</v>
      </c>
      <c r="AS75" s="55">
        <v>11</v>
      </c>
      <c r="AT75" s="55">
        <v>18</v>
      </c>
      <c r="AU75" s="55">
        <v>16</v>
      </c>
      <c r="AV75" s="55">
        <v>13</v>
      </c>
      <c r="AW75" s="55">
        <v>10</v>
      </c>
      <c r="AX75" s="55">
        <v>10</v>
      </c>
      <c r="AY75" s="55">
        <v>8</v>
      </c>
      <c r="AZ75" s="5"/>
      <c r="BA75" s="35">
        <v>14000</v>
      </c>
      <c r="BB75" s="55">
        <v>17</v>
      </c>
      <c r="BC75" s="160">
        <v>17</v>
      </c>
      <c r="BD75" s="55">
        <v>12</v>
      </c>
      <c r="BE75" s="55">
        <v>9</v>
      </c>
      <c r="BF75" s="55">
        <v>7</v>
      </c>
      <c r="BG75" s="55">
        <v>16</v>
      </c>
      <c r="BH75" s="55">
        <v>12</v>
      </c>
      <c r="BI75" s="55">
        <v>8</v>
      </c>
      <c r="BJ75" s="55">
        <v>6</v>
      </c>
      <c r="BK75" s="55">
        <v>6</v>
      </c>
      <c r="BL75" s="55">
        <v>6</v>
      </c>
      <c r="BM75" s="55">
        <v>11</v>
      </c>
      <c r="BN75" s="5"/>
      <c r="BO75" s="35">
        <v>14000</v>
      </c>
      <c r="BP75" s="29">
        <f>IF('7030 Ballast Calculator'!D34=1,HLOOKUP('7030 Ballast Calculator'!E32,'7030 Wheel Data Sheet'!BB66:BM97,10,FALSE),HLOOKUP('7030 Ballast Calculator'!E32,AS66:AY97,10,FALSE))</f>
        <v>8</v>
      </c>
      <c r="BR75" s="10"/>
    </row>
    <row r="76" spans="38:70" ht="12.75" customHeight="1">
      <c r="AL76" s="50"/>
      <c r="AM76" s="50"/>
      <c r="AN76" s="50"/>
      <c r="AR76" s="35">
        <v>14500</v>
      </c>
      <c r="AS76" s="55">
        <v>12</v>
      </c>
      <c r="AT76" s="55">
        <v>19</v>
      </c>
      <c r="AU76" s="55">
        <v>17</v>
      </c>
      <c r="AV76" s="55">
        <v>14</v>
      </c>
      <c r="AW76" s="55">
        <v>11</v>
      </c>
      <c r="AX76" s="55">
        <v>11</v>
      </c>
      <c r="AY76" s="55">
        <v>8</v>
      </c>
      <c r="AZ76" s="5"/>
      <c r="BA76" s="35">
        <v>14500</v>
      </c>
      <c r="BB76" s="55">
        <v>18</v>
      </c>
      <c r="BC76" s="160">
        <v>17</v>
      </c>
      <c r="BD76" s="55">
        <v>13</v>
      </c>
      <c r="BE76" s="55">
        <v>10</v>
      </c>
      <c r="BF76" s="55">
        <v>7</v>
      </c>
      <c r="BG76" s="55">
        <v>17</v>
      </c>
      <c r="BH76" s="55">
        <v>13</v>
      </c>
      <c r="BI76" s="55">
        <v>8</v>
      </c>
      <c r="BJ76" s="55">
        <v>7</v>
      </c>
      <c r="BK76" s="55">
        <v>6</v>
      </c>
      <c r="BL76" s="55">
        <v>6</v>
      </c>
      <c r="BM76" s="55">
        <v>11</v>
      </c>
      <c r="BN76" s="5"/>
      <c r="BO76" s="35">
        <v>14500</v>
      </c>
      <c r="BP76" s="29">
        <f>IF('7030 Ballast Calculator'!D34=1,HLOOKUP('7030 Ballast Calculator'!E32,'7030 Wheel Data Sheet'!BB66:BM97,11,FALSE),HLOOKUP('7030 Ballast Calculator'!E32,AS66:AY97,11,FALSE))</f>
        <v>8</v>
      </c>
      <c r="BR76" s="10"/>
    </row>
    <row r="77" spans="38:70" ht="12.75" customHeight="1">
      <c r="AL77" s="6"/>
      <c r="AM77" s="10"/>
      <c r="AN77" s="51"/>
      <c r="AR77" s="35">
        <v>15000</v>
      </c>
      <c r="AS77" s="55">
        <v>13</v>
      </c>
      <c r="AT77" s="55">
        <v>20</v>
      </c>
      <c r="AU77" s="55">
        <v>17</v>
      </c>
      <c r="AV77" s="55">
        <v>15</v>
      </c>
      <c r="AW77" s="55">
        <v>11</v>
      </c>
      <c r="AX77" s="55">
        <v>11</v>
      </c>
      <c r="AY77" s="55">
        <v>9</v>
      </c>
      <c r="AZ77" s="5"/>
      <c r="BA77" s="35">
        <v>15000</v>
      </c>
      <c r="BB77" s="55">
        <v>19</v>
      </c>
      <c r="BC77" s="160">
        <v>18</v>
      </c>
      <c r="BD77" s="55">
        <v>13</v>
      </c>
      <c r="BE77" s="55">
        <v>10</v>
      </c>
      <c r="BF77" s="55">
        <v>8</v>
      </c>
      <c r="BG77" s="55">
        <v>17</v>
      </c>
      <c r="BH77" s="55">
        <v>13</v>
      </c>
      <c r="BI77" s="55">
        <v>9</v>
      </c>
      <c r="BJ77" s="55">
        <v>7</v>
      </c>
      <c r="BK77" s="55">
        <v>6</v>
      </c>
      <c r="BL77" s="55">
        <v>6</v>
      </c>
      <c r="BM77" s="55">
        <v>12</v>
      </c>
      <c r="BN77" s="5"/>
      <c r="BO77" s="35">
        <v>15000</v>
      </c>
      <c r="BP77" s="29">
        <f>IF('7030 Ballast Calculator'!D34=1,HLOOKUP('7030 Ballast Calculator'!E32,'7030 Wheel Data Sheet'!BB66:BM97,12,FALSE),HLOOKUP('7030 Ballast Calculator'!E32,AS66:AY97,12,FALSE))</f>
        <v>9</v>
      </c>
      <c r="BR77" s="10"/>
    </row>
    <row r="78" spans="18:70" ht="12.75" customHeight="1">
      <c r="R78" s="48"/>
      <c r="V78" s="48"/>
      <c r="W78" s="48"/>
      <c r="X78" s="48"/>
      <c r="AB78" s="48"/>
      <c r="AF78" s="48"/>
      <c r="AG78" s="48"/>
      <c r="AH78" s="48"/>
      <c r="AI78" s="48"/>
      <c r="AL78" s="6"/>
      <c r="AM78" s="10"/>
      <c r="AN78" s="6"/>
      <c r="AR78" s="35">
        <v>15500</v>
      </c>
      <c r="AS78" s="55">
        <v>13</v>
      </c>
      <c r="AT78" s="55">
        <v>21</v>
      </c>
      <c r="AU78" s="55">
        <v>18</v>
      </c>
      <c r="AV78" s="55">
        <v>16</v>
      </c>
      <c r="AW78" s="55">
        <v>12</v>
      </c>
      <c r="AX78" s="55">
        <v>12</v>
      </c>
      <c r="AY78" s="55">
        <v>10</v>
      </c>
      <c r="AZ78" s="5"/>
      <c r="BA78" s="35">
        <v>15500</v>
      </c>
      <c r="BB78" s="55">
        <v>20</v>
      </c>
      <c r="BC78" s="160">
        <v>19</v>
      </c>
      <c r="BD78" s="55">
        <v>14</v>
      </c>
      <c r="BE78" s="55">
        <v>11</v>
      </c>
      <c r="BF78" s="55">
        <v>8</v>
      </c>
      <c r="BG78" s="55">
        <v>18</v>
      </c>
      <c r="BH78" s="55">
        <v>14</v>
      </c>
      <c r="BI78" s="55">
        <v>10</v>
      </c>
      <c r="BJ78" s="55">
        <v>7</v>
      </c>
      <c r="BK78" s="55">
        <v>6</v>
      </c>
      <c r="BL78" s="55">
        <v>6</v>
      </c>
      <c r="BM78" s="55">
        <v>13</v>
      </c>
      <c r="BN78" s="5"/>
      <c r="BO78" s="35">
        <v>15500</v>
      </c>
      <c r="BP78" s="29">
        <f>IF('7030 Ballast Calculator'!D34=1,HLOOKUP('7030 Ballast Calculator'!E32,'7030 Wheel Data Sheet'!BB66:BM97,13,FALSE),HLOOKUP('7030 Ballast Calculator'!E32,AS66:AY97,13,FALSE))</f>
        <v>10</v>
      </c>
      <c r="BR78" s="10"/>
    </row>
    <row r="79" spans="18:70" ht="12.75" customHeight="1">
      <c r="R79" s="45"/>
      <c r="V79" s="45"/>
      <c r="W79" s="45"/>
      <c r="X79" s="45"/>
      <c r="AB79" s="45"/>
      <c r="AF79" s="45"/>
      <c r="AG79" s="45"/>
      <c r="AH79" s="45"/>
      <c r="AI79" s="45"/>
      <c r="AJ79" s="45"/>
      <c r="AK79" s="45"/>
      <c r="AL79" s="6"/>
      <c r="AM79" s="10"/>
      <c r="AN79" s="6"/>
      <c r="AR79" s="35">
        <v>16000</v>
      </c>
      <c r="AS79" s="55">
        <v>13</v>
      </c>
      <c r="AT79" s="55">
        <v>22</v>
      </c>
      <c r="AU79" s="55">
        <v>19</v>
      </c>
      <c r="AV79" s="55">
        <v>16</v>
      </c>
      <c r="AW79" s="55">
        <v>13</v>
      </c>
      <c r="AX79" s="55">
        <v>13</v>
      </c>
      <c r="AY79" s="55">
        <v>10</v>
      </c>
      <c r="AZ79" s="5"/>
      <c r="BA79" s="35">
        <v>16000</v>
      </c>
      <c r="BB79" s="55">
        <v>21</v>
      </c>
      <c r="BC79" s="160">
        <v>20</v>
      </c>
      <c r="BD79" s="55">
        <v>15</v>
      </c>
      <c r="BE79" s="55">
        <v>11</v>
      </c>
      <c r="BF79" s="55">
        <v>9</v>
      </c>
      <c r="BG79" s="55">
        <v>19</v>
      </c>
      <c r="BH79" s="55">
        <v>15</v>
      </c>
      <c r="BI79" s="55">
        <v>10</v>
      </c>
      <c r="BJ79" s="55">
        <v>8</v>
      </c>
      <c r="BK79" s="55">
        <v>6</v>
      </c>
      <c r="BL79" s="55">
        <v>6</v>
      </c>
      <c r="BM79" s="55">
        <v>13</v>
      </c>
      <c r="BN79" s="5"/>
      <c r="BO79" s="35">
        <v>16000</v>
      </c>
      <c r="BP79" s="29">
        <f>IF('7030 Ballast Calculator'!D34=1,HLOOKUP('7030 Ballast Calculator'!E32,'7030 Wheel Data Sheet'!BB66:BM97,14,FALSE),HLOOKUP('7030 Ballast Calculator'!E32,AS66:AY97,14,FALSE))</f>
        <v>10</v>
      </c>
      <c r="BR79" s="10"/>
    </row>
    <row r="80" spans="18:70" ht="12.75" customHeight="1">
      <c r="R80" s="45"/>
      <c r="V80" s="45"/>
      <c r="W80" s="45"/>
      <c r="X80" s="45"/>
      <c r="AB80" s="45"/>
      <c r="AF80" s="45"/>
      <c r="AG80" s="45"/>
      <c r="AH80" s="45"/>
      <c r="AI80" s="45"/>
      <c r="AL80" s="6"/>
      <c r="AM80" s="10"/>
      <c r="AN80" s="6"/>
      <c r="AR80" s="35">
        <v>16500</v>
      </c>
      <c r="AS80" s="55">
        <v>14</v>
      </c>
      <c r="AT80" s="55">
        <v>23</v>
      </c>
      <c r="AU80" s="55">
        <v>20</v>
      </c>
      <c r="AV80" s="55">
        <v>17</v>
      </c>
      <c r="AW80" s="55">
        <v>14</v>
      </c>
      <c r="AX80" s="55">
        <v>13</v>
      </c>
      <c r="AY80" s="55">
        <v>10</v>
      </c>
      <c r="AZ80" s="5"/>
      <c r="BA80" s="35">
        <v>16500</v>
      </c>
      <c r="BB80" s="55">
        <v>22</v>
      </c>
      <c r="BC80" s="160">
        <v>22</v>
      </c>
      <c r="BD80" s="55">
        <v>16</v>
      </c>
      <c r="BE80" s="55">
        <v>12</v>
      </c>
      <c r="BF80" s="55">
        <v>10</v>
      </c>
      <c r="BG80" s="55">
        <v>21</v>
      </c>
      <c r="BH80" s="55">
        <v>16</v>
      </c>
      <c r="BI80" s="55">
        <v>11</v>
      </c>
      <c r="BJ80" s="55">
        <v>8</v>
      </c>
      <c r="BK80" s="55">
        <v>7</v>
      </c>
      <c r="BL80" s="55">
        <v>6</v>
      </c>
      <c r="BM80" s="55">
        <v>14</v>
      </c>
      <c r="BN80" s="5"/>
      <c r="BO80" s="35">
        <v>16500</v>
      </c>
      <c r="BP80" s="29">
        <f>IF('7030 Ballast Calculator'!D34=1,HLOOKUP('7030 Ballast Calculator'!E32,'7030 Wheel Data Sheet'!BB66:BM97,15,FALSE),HLOOKUP('7030 Ballast Calculator'!E32,AS66:AY97,15,FALSE))</f>
        <v>11</v>
      </c>
      <c r="BR80" s="10"/>
    </row>
    <row r="81" spans="18:70" ht="12.75" customHeight="1">
      <c r="R81" s="45"/>
      <c r="V81" s="45"/>
      <c r="W81" s="45"/>
      <c r="X81" s="45"/>
      <c r="AB81" s="45"/>
      <c r="AF81" s="45"/>
      <c r="AG81" s="45"/>
      <c r="AH81" s="45"/>
      <c r="AI81" s="45"/>
      <c r="AL81" s="4"/>
      <c r="AM81" s="10"/>
      <c r="AN81" s="4"/>
      <c r="AR81" s="35">
        <v>17000</v>
      </c>
      <c r="AS81" s="55">
        <v>15</v>
      </c>
      <c r="AT81" s="55">
        <v>26</v>
      </c>
      <c r="AU81" s="55">
        <v>20</v>
      </c>
      <c r="AV81" s="55">
        <v>17</v>
      </c>
      <c r="AW81" s="55">
        <v>15</v>
      </c>
      <c r="AX81" s="55">
        <v>14</v>
      </c>
      <c r="AY81" s="55">
        <v>11</v>
      </c>
      <c r="AZ81" s="5"/>
      <c r="BA81" s="35">
        <v>17000</v>
      </c>
      <c r="BB81" s="55">
        <v>23</v>
      </c>
      <c r="BC81" s="160">
        <v>23</v>
      </c>
      <c r="BD81" s="55">
        <v>16</v>
      </c>
      <c r="BE81" s="55">
        <v>13</v>
      </c>
      <c r="BF81" s="55">
        <v>10</v>
      </c>
      <c r="BG81" s="55">
        <v>21</v>
      </c>
      <c r="BH81" s="55">
        <v>16</v>
      </c>
      <c r="BI81" s="55">
        <v>11</v>
      </c>
      <c r="BJ81" s="55">
        <v>9</v>
      </c>
      <c r="BK81" s="55">
        <v>7</v>
      </c>
      <c r="BL81" s="55">
        <v>6</v>
      </c>
      <c r="BM81" s="55">
        <v>15</v>
      </c>
      <c r="BN81" s="5"/>
      <c r="BO81" s="35">
        <v>17000</v>
      </c>
      <c r="BP81" s="29">
        <f>IF('7030 Ballast Calculator'!D34=1,HLOOKUP('7030 Ballast Calculator'!E32,'7030 Wheel Data Sheet'!BB66:BM97,16,FALSE),HLOOKUP('7030 Ballast Calculator'!E32,AS66:AY97,16,FALSE))</f>
        <v>11</v>
      </c>
      <c r="BR81" s="10"/>
    </row>
    <row r="82" spans="18:70" ht="12.75" customHeight="1">
      <c r="R82" s="45"/>
      <c r="V82" s="45"/>
      <c r="W82" s="45"/>
      <c r="X82" s="45"/>
      <c r="AB82" s="45"/>
      <c r="AF82" s="45"/>
      <c r="AG82" s="45"/>
      <c r="AH82" s="45"/>
      <c r="AI82" s="45"/>
      <c r="AL82" s="4"/>
      <c r="AM82" s="10"/>
      <c r="AN82" s="4"/>
      <c r="AR82" s="35">
        <v>17500</v>
      </c>
      <c r="AS82" s="55">
        <v>16</v>
      </c>
      <c r="AT82" s="55">
        <v>28</v>
      </c>
      <c r="AU82" s="55">
        <v>21</v>
      </c>
      <c r="AV82" s="55">
        <v>18</v>
      </c>
      <c r="AW82" s="55">
        <v>15</v>
      </c>
      <c r="AX82" s="55">
        <v>15</v>
      </c>
      <c r="AY82" s="55">
        <v>12</v>
      </c>
      <c r="AZ82" s="5"/>
      <c r="BA82" s="35">
        <v>17500</v>
      </c>
      <c r="BB82" s="55">
        <v>24</v>
      </c>
      <c r="BC82" s="160">
        <v>24</v>
      </c>
      <c r="BD82" s="55">
        <v>16</v>
      </c>
      <c r="BE82" s="55">
        <v>13</v>
      </c>
      <c r="BF82" s="55">
        <v>10</v>
      </c>
      <c r="BG82" s="55">
        <v>22</v>
      </c>
      <c r="BH82" s="55">
        <v>17</v>
      </c>
      <c r="BI82" s="55">
        <v>12</v>
      </c>
      <c r="BJ82" s="55">
        <v>10</v>
      </c>
      <c r="BK82" s="55">
        <v>8</v>
      </c>
      <c r="BL82" s="55">
        <v>6</v>
      </c>
      <c r="BM82" s="55">
        <v>16</v>
      </c>
      <c r="BN82" s="5"/>
      <c r="BO82" s="35">
        <v>17500</v>
      </c>
      <c r="BP82" s="29">
        <f>IF('7030 Ballast Calculator'!D34=1,HLOOKUP('7030 Ballast Calculator'!E32,'7030 Wheel Data Sheet'!BB66:BM97,17,FALSE),HLOOKUP('7030 Ballast Calculator'!E32,AS66:AY97,17,FALSE))</f>
        <v>12</v>
      </c>
      <c r="BR82" s="10"/>
    </row>
    <row r="83" spans="18:70" ht="12.75" customHeight="1">
      <c r="R83" s="45"/>
      <c r="V83" s="45"/>
      <c r="W83" s="45"/>
      <c r="X83" s="45"/>
      <c r="AB83" s="45"/>
      <c r="AF83" s="45"/>
      <c r="AG83" s="45"/>
      <c r="AH83" s="45"/>
      <c r="AI83" s="45"/>
      <c r="AR83" s="35">
        <v>18000</v>
      </c>
      <c r="AS83" s="55">
        <v>16</v>
      </c>
      <c r="AT83" s="55">
        <v>29</v>
      </c>
      <c r="AU83" s="55">
        <v>22</v>
      </c>
      <c r="AV83" s="55">
        <v>19</v>
      </c>
      <c r="AW83" s="55">
        <v>16</v>
      </c>
      <c r="AX83" s="55">
        <v>16</v>
      </c>
      <c r="AY83" s="55">
        <v>12</v>
      </c>
      <c r="AZ83" s="5"/>
      <c r="BA83" s="35">
        <v>18000</v>
      </c>
      <c r="BB83" s="55">
        <v>24</v>
      </c>
      <c r="BC83" s="160">
        <v>25</v>
      </c>
      <c r="BD83" s="55">
        <v>17</v>
      </c>
      <c r="BE83" s="55">
        <v>13</v>
      </c>
      <c r="BF83" s="55">
        <v>11</v>
      </c>
      <c r="BG83" s="55">
        <v>23</v>
      </c>
      <c r="BH83" s="55">
        <v>17</v>
      </c>
      <c r="BI83" s="55">
        <v>13</v>
      </c>
      <c r="BJ83" s="55">
        <v>10</v>
      </c>
      <c r="BK83" s="55">
        <v>8</v>
      </c>
      <c r="BL83" s="55">
        <v>6</v>
      </c>
      <c r="BM83" s="55">
        <v>16</v>
      </c>
      <c r="BN83" s="5"/>
      <c r="BO83" s="35">
        <v>18000</v>
      </c>
      <c r="BP83" s="29">
        <f>IF('7030 Ballast Calculator'!D34=1,HLOOKUP('7030 Ballast Calculator'!E32,'7030 Wheel Data Sheet'!BB66:BM97,18,FALSE),HLOOKUP('7030 Ballast Calculator'!E32,AS66:AY97,18,FALSE))</f>
        <v>13</v>
      </c>
      <c r="BR83" s="10"/>
    </row>
    <row r="84" spans="18:70" ht="12.75" customHeight="1">
      <c r="R84" s="45"/>
      <c r="V84" s="45"/>
      <c r="W84" s="45"/>
      <c r="X84" s="45"/>
      <c r="AB84" s="45"/>
      <c r="AF84" s="45"/>
      <c r="AG84" s="45"/>
      <c r="AH84" s="45"/>
      <c r="AI84" s="45"/>
      <c r="AR84" s="35">
        <v>18500</v>
      </c>
      <c r="AS84" s="55">
        <v>17</v>
      </c>
      <c r="AT84" s="55">
        <v>31</v>
      </c>
      <c r="AU84" s="55">
        <v>23</v>
      </c>
      <c r="AV84" s="55">
        <v>20</v>
      </c>
      <c r="AW84" s="55">
        <v>16</v>
      </c>
      <c r="AX84" s="55">
        <v>16</v>
      </c>
      <c r="AY84" s="55">
        <v>13</v>
      </c>
      <c r="AZ84" s="11"/>
      <c r="BA84" s="35">
        <v>18500</v>
      </c>
      <c r="BB84" s="55">
        <v>25</v>
      </c>
      <c r="BC84" s="160">
        <v>26</v>
      </c>
      <c r="BD84" s="55">
        <v>17</v>
      </c>
      <c r="BE84" s="55">
        <v>14</v>
      </c>
      <c r="BF84" s="55">
        <v>11</v>
      </c>
      <c r="BG84" s="55">
        <v>24</v>
      </c>
      <c r="BH84" s="55">
        <v>18</v>
      </c>
      <c r="BI84" s="55">
        <v>13</v>
      </c>
      <c r="BJ84" s="55">
        <v>10</v>
      </c>
      <c r="BK84" s="55">
        <v>9</v>
      </c>
      <c r="BL84" s="55">
        <v>6</v>
      </c>
      <c r="BM84" s="55">
        <v>17</v>
      </c>
      <c r="BN84" s="11"/>
      <c r="BO84" s="35">
        <v>18500</v>
      </c>
      <c r="BP84" s="29">
        <f>IF('7030 Ballast Calculator'!D34=1,HLOOKUP('7030 Ballast Calculator'!E32,'7030 Wheel Data Sheet'!BB66:BM97,19,FALSE),HLOOKUP('7030 Ballast Calculator'!E32,AS66:AY97,19,FALSE))</f>
        <v>13</v>
      </c>
      <c r="BR84" s="10"/>
    </row>
    <row r="85" spans="18:70" ht="12.75" customHeight="1">
      <c r="R85" s="49"/>
      <c r="V85" s="49"/>
      <c r="W85" s="49"/>
      <c r="X85" s="49"/>
      <c r="AB85" s="49"/>
      <c r="AF85" s="49"/>
      <c r="AG85" s="49"/>
      <c r="AH85" s="49"/>
      <c r="AI85" s="49"/>
      <c r="AR85" s="35">
        <v>19000</v>
      </c>
      <c r="AS85" s="55">
        <v>17</v>
      </c>
      <c r="AT85" s="55">
        <v>34</v>
      </c>
      <c r="AU85" s="55" t="s">
        <v>56</v>
      </c>
      <c r="AV85" s="55">
        <v>21</v>
      </c>
      <c r="AW85" s="55">
        <v>17</v>
      </c>
      <c r="AX85" s="55">
        <v>17</v>
      </c>
      <c r="AY85" s="55">
        <v>13</v>
      </c>
      <c r="AZ85" s="11"/>
      <c r="BA85" s="35">
        <v>19000</v>
      </c>
      <c r="BB85" s="55">
        <v>26</v>
      </c>
      <c r="BC85" s="160">
        <v>27</v>
      </c>
      <c r="BD85" s="55">
        <v>18</v>
      </c>
      <c r="BE85" s="55">
        <v>15</v>
      </c>
      <c r="BF85" s="55">
        <v>12</v>
      </c>
      <c r="BG85" s="55">
        <v>25</v>
      </c>
      <c r="BH85" s="55">
        <v>18</v>
      </c>
      <c r="BI85" s="55">
        <v>14</v>
      </c>
      <c r="BJ85" s="55">
        <v>11</v>
      </c>
      <c r="BK85" s="55">
        <v>10</v>
      </c>
      <c r="BL85" s="55">
        <v>7</v>
      </c>
      <c r="BM85" s="55">
        <v>17</v>
      </c>
      <c r="BN85" s="11"/>
      <c r="BO85" s="35">
        <v>19000</v>
      </c>
      <c r="BP85" s="29">
        <f>IF('7030 Ballast Calculator'!D34=1,HLOOKUP('7030 Ballast Calculator'!E32,'7030 Wheel Data Sheet'!BB66:BM97,20,FALSE),HLOOKUP('7030 Ballast Calculator'!E32,AS66:AY97,20,FALSE))</f>
        <v>14</v>
      </c>
      <c r="BR85" s="10"/>
    </row>
    <row r="86" spans="18:70" ht="12.75" customHeight="1">
      <c r="R86" s="49"/>
      <c r="V86" s="49"/>
      <c r="W86" s="49"/>
      <c r="X86" s="49"/>
      <c r="AB86" s="49"/>
      <c r="AF86" s="49"/>
      <c r="AG86" s="49"/>
      <c r="AH86" s="49"/>
      <c r="AI86" s="49"/>
      <c r="AR86" s="35">
        <v>19500</v>
      </c>
      <c r="AS86" s="55">
        <v>18</v>
      </c>
      <c r="AT86" s="55" t="s">
        <v>56</v>
      </c>
      <c r="AU86" s="55" t="s">
        <v>56</v>
      </c>
      <c r="AV86" s="55">
        <v>22</v>
      </c>
      <c r="AW86" s="55">
        <v>17</v>
      </c>
      <c r="AX86" s="55">
        <v>17</v>
      </c>
      <c r="AY86" s="55">
        <v>14</v>
      </c>
      <c r="AZ86" s="11"/>
      <c r="BA86" s="35">
        <v>19500</v>
      </c>
      <c r="BB86" s="55">
        <v>27</v>
      </c>
      <c r="BC86" s="160">
        <v>29</v>
      </c>
      <c r="BD86" s="55">
        <v>19</v>
      </c>
      <c r="BE86" s="55">
        <v>16</v>
      </c>
      <c r="BF86" s="55">
        <v>13</v>
      </c>
      <c r="BG86" s="55">
        <v>27</v>
      </c>
      <c r="BH86" s="55">
        <v>19</v>
      </c>
      <c r="BI86" s="55">
        <v>15</v>
      </c>
      <c r="BJ86" s="55">
        <v>12</v>
      </c>
      <c r="BK86" s="55">
        <v>10</v>
      </c>
      <c r="BL86" s="55">
        <v>7</v>
      </c>
      <c r="BM86" s="55">
        <v>18</v>
      </c>
      <c r="BN86" s="11"/>
      <c r="BO86" s="35">
        <v>19500</v>
      </c>
      <c r="BP86" s="29">
        <f>IF('7030 Ballast Calculator'!D34=1,HLOOKUP('7030 Ballast Calculator'!E32,'7030 Wheel Data Sheet'!BB66:BM97,21,FALSE),HLOOKUP('7030 Ballast Calculator'!E32,AS66:AY97,21,FALSE))</f>
        <v>15</v>
      </c>
      <c r="BR86" s="10"/>
    </row>
    <row r="87" spans="18:70" ht="12.75" customHeight="1">
      <c r="R87" s="49"/>
      <c r="V87" s="49"/>
      <c r="W87" s="49"/>
      <c r="X87" s="49"/>
      <c r="AB87" s="49"/>
      <c r="AF87" s="49"/>
      <c r="AG87" s="49"/>
      <c r="AH87" s="49"/>
      <c r="AI87" s="49"/>
      <c r="AR87" s="35">
        <v>20000</v>
      </c>
      <c r="AS87" s="55">
        <v>18</v>
      </c>
      <c r="AT87" s="55" t="s">
        <v>56</v>
      </c>
      <c r="AU87" s="55" t="s">
        <v>56</v>
      </c>
      <c r="AV87" s="55">
        <v>22</v>
      </c>
      <c r="AW87" s="55">
        <v>18</v>
      </c>
      <c r="AX87" s="55">
        <v>18</v>
      </c>
      <c r="AY87" s="55">
        <v>15</v>
      </c>
      <c r="AZ87" s="11"/>
      <c r="BA87" s="35">
        <v>20000</v>
      </c>
      <c r="BB87" s="55">
        <v>28</v>
      </c>
      <c r="BC87" s="160">
        <v>30</v>
      </c>
      <c r="BD87" s="55">
        <v>20</v>
      </c>
      <c r="BE87" s="55">
        <v>16</v>
      </c>
      <c r="BF87" s="55">
        <v>13</v>
      </c>
      <c r="BG87" s="55">
        <v>30</v>
      </c>
      <c r="BH87" s="55">
        <v>20</v>
      </c>
      <c r="BI87" s="55">
        <v>15</v>
      </c>
      <c r="BJ87" s="55">
        <v>13</v>
      </c>
      <c r="BK87" s="55">
        <v>10</v>
      </c>
      <c r="BL87" s="55">
        <v>7</v>
      </c>
      <c r="BM87" s="55">
        <v>18</v>
      </c>
      <c r="BN87" s="11"/>
      <c r="BO87" s="35">
        <v>20000</v>
      </c>
      <c r="BP87" s="29">
        <f>IF('7030 Ballast Calculator'!D34=1,HLOOKUP('7030 Ballast Calculator'!E32,'7030 Wheel Data Sheet'!BB66:BM97,22,FALSE),HLOOKUP('7030 Ballast Calculator'!E32,AS66:AY97,22,FALSE))</f>
        <v>15</v>
      </c>
      <c r="BR87" s="10"/>
    </row>
    <row r="88" spans="18:70" ht="12.75" customHeight="1">
      <c r="R88" s="49"/>
      <c r="V88" s="49"/>
      <c r="W88" s="49"/>
      <c r="X88" s="49"/>
      <c r="AB88" s="49"/>
      <c r="AF88" s="49"/>
      <c r="AG88" s="49"/>
      <c r="AH88" s="49"/>
      <c r="AI88" s="49"/>
      <c r="AL88" s="45"/>
      <c r="AR88" s="35">
        <v>21000</v>
      </c>
      <c r="AS88" s="55">
        <v>20</v>
      </c>
      <c r="AT88" s="55" t="s">
        <v>56</v>
      </c>
      <c r="AU88" s="55" t="s">
        <v>56</v>
      </c>
      <c r="AV88" s="55">
        <v>23</v>
      </c>
      <c r="AW88" s="55">
        <v>19</v>
      </c>
      <c r="AX88" s="55">
        <v>19</v>
      </c>
      <c r="AY88" s="55">
        <v>16</v>
      </c>
      <c r="AZ88" s="11"/>
      <c r="BA88" s="35">
        <v>21000</v>
      </c>
      <c r="BB88" s="55">
        <v>30</v>
      </c>
      <c r="BC88" s="160" t="s">
        <v>56</v>
      </c>
      <c r="BD88" s="55">
        <v>21</v>
      </c>
      <c r="BE88" s="55">
        <v>21</v>
      </c>
      <c r="BF88" s="55">
        <v>14</v>
      </c>
      <c r="BG88" s="55">
        <v>35</v>
      </c>
      <c r="BH88" s="55">
        <v>21</v>
      </c>
      <c r="BI88" s="55">
        <v>16</v>
      </c>
      <c r="BJ88" s="55">
        <v>13</v>
      </c>
      <c r="BK88" s="55">
        <v>11</v>
      </c>
      <c r="BL88" s="55">
        <v>8</v>
      </c>
      <c r="BM88" s="55">
        <v>20</v>
      </c>
      <c r="BN88" s="11"/>
      <c r="BO88" s="35">
        <v>21000</v>
      </c>
      <c r="BP88" s="29">
        <f>IF('7030 Ballast Calculator'!D34=1,HLOOKUP('7030 Ballast Calculator'!E32,'7030 Wheel Data Sheet'!BB66:BM97,23,FALSE),HLOOKUP('7030 Ballast Calculator'!E32,AS66:AY97,23,FALSE))</f>
        <v>16</v>
      </c>
      <c r="BR88" s="10"/>
    </row>
    <row r="89" spans="44:70" ht="12.75" customHeight="1">
      <c r="AR89" s="35">
        <v>22000</v>
      </c>
      <c r="AS89" s="55">
        <v>21</v>
      </c>
      <c r="AT89" s="55" t="s">
        <v>56</v>
      </c>
      <c r="AU89" s="55" t="s">
        <v>56</v>
      </c>
      <c r="AV89" s="55" t="s">
        <v>56</v>
      </c>
      <c r="AW89" s="55">
        <v>20</v>
      </c>
      <c r="AX89" s="55">
        <v>20</v>
      </c>
      <c r="AY89" s="55">
        <v>17</v>
      </c>
      <c r="AZ89" s="11"/>
      <c r="BA89" s="35">
        <v>22000</v>
      </c>
      <c r="BB89" s="55">
        <v>32</v>
      </c>
      <c r="BC89" s="160" t="s">
        <v>56</v>
      </c>
      <c r="BD89" s="55">
        <v>23</v>
      </c>
      <c r="BE89" s="55">
        <v>21</v>
      </c>
      <c r="BF89" s="55">
        <v>16</v>
      </c>
      <c r="BG89" s="55">
        <v>37</v>
      </c>
      <c r="BH89" s="55">
        <v>23</v>
      </c>
      <c r="BI89" s="55">
        <v>17</v>
      </c>
      <c r="BJ89" s="55">
        <v>14</v>
      </c>
      <c r="BK89" s="55">
        <v>12</v>
      </c>
      <c r="BL89" s="55">
        <v>9</v>
      </c>
      <c r="BM89" s="55">
        <v>22</v>
      </c>
      <c r="BN89" s="11"/>
      <c r="BO89" s="35">
        <v>22000</v>
      </c>
      <c r="BP89" s="29">
        <f>IF('7030 Ballast Calculator'!D34=1,HLOOKUP('7030 Ballast Calculator'!E32,'7030 Wheel Data Sheet'!BB66:BM97,24,FALSE),HLOOKUP('7030 Ballast Calculator'!E32,AS66:AY97,24,FALSE))</f>
        <v>17</v>
      </c>
      <c r="BR89" s="10"/>
    </row>
    <row r="90" spans="44:70" ht="12.75" customHeight="1">
      <c r="AR90" s="35">
        <v>23000</v>
      </c>
      <c r="AS90" s="55">
        <v>23</v>
      </c>
      <c r="AT90" s="55" t="s">
        <v>56</v>
      </c>
      <c r="AU90" s="55" t="s">
        <v>56</v>
      </c>
      <c r="AV90" s="55" t="s">
        <v>56</v>
      </c>
      <c r="AW90" s="55">
        <v>22</v>
      </c>
      <c r="AX90" s="55">
        <v>22</v>
      </c>
      <c r="AY90" s="55">
        <v>17</v>
      </c>
      <c r="AZ90" s="11"/>
      <c r="BA90" s="35">
        <v>23000</v>
      </c>
      <c r="BB90" s="55">
        <v>34</v>
      </c>
      <c r="BC90" s="160" t="s">
        <v>56</v>
      </c>
      <c r="BD90" s="55">
        <v>25</v>
      </c>
      <c r="BE90" s="55">
        <v>19</v>
      </c>
      <c r="BF90" s="55">
        <v>16</v>
      </c>
      <c r="BG90" s="55">
        <v>41</v>
      </c>
      <c r="BH90" s="55">
        <v>25</v>
      </c>
      <c r="BI90" s="55">
        <v>18</v>
      </c>
      <c r="BJ90" s="55">
        <v>15</v>
      </c>
      <c r="BK90" s="55">
        <v>13</v>
      </c>
      <c r="BL90" s="55">
        <v>10</v>
      </c>
      <c r="BM90" s="55">
        <v>23</v>
      </c>
      <c r="BN90" s="11"/>
      <c r="BO90" s="35">
        <v>23000</v>
      </c>
      <c r="BP90" s="29">
        <f>IF('7030 Ballast Calculator'!D34=1,HLOOKUP('7030 Ballast Calculator'!E32,'7030 Wheel Data Sheet'!BB66:BM97,25,FALSE),HLOOKUP('7030 Ballast Calculator'!E32,AS66:AY97,25,FALSE))</f>
        <v>18</v>
      </c>
      <c r="BR90" s="10"/>
    </row>
    <row r="91" spans="44:70" ht="12.75" customHeight="1">
      <c r="AR91" s="35">
        <v>24000</v>
      </c>
      <c r="AS91" s="55" t="s">
        <v>56</v>
      </c>
      <c r="AT91" s="55" t="s">
        <v>56</v>
      </c>
      <c r="AU91" s="55" t="s">
        <v>56</v>
      </c>
      <c r="AV91" s="55" t="s">
        <v>56</v>
      </c>
      <c r="AW91" s="55">
        <v>23</v>
      </c>
      <c r="AX91" s="55">
        <v>23</v>
      </c>
      <c r="AY91" s="55">
        <v>18</v>
      </c>
      <c r="AZ91" s="11"/>
      <c r="BA91" s="35">
        <v>24000</v>
      </c>
      <c r="BB91" s="55">
        <v>35</v>
      </c>
      <c r="BC91" s="160" t="s">
        <v>56</v>
      </c>
      <c r="BD91" s="55">
        <v>27</v>
      </c>
      <c r="BE91" s="55">
        <v>20</v>
      </c>
      <c r="BF91" s="55">
        <v>17</v>
      </c>
      <c r="BG91" s="55">
        <v>43</v>
      </c>
      <c r="BH91" s="55">
        <v>27</v>
      </c>
      <c r="BI91" s="55">
        <v>19</v>
      </c>
      <c r="BJ91" s="55">
        <v>16</v>
      </c>
      <c r="BK91" s="55">
        <v>14</v>
      </c>
      <c r="BL91" s="55">
        <v>10</v>
      </c>
      <c r="BM91" s="55">
        <v>25</v>
      </c>
      <c r="BN91" s="11"/>
      <c r="BO91" s="35">
        <v>24000</v>
      </c>
      <c r="BP91" s="29">
        <f>IF('7030 Ballast Calculator'!D34=1,HLOOKUP('7030 Ballast Calculator'!E32,'7030 Wheel Data Sheet'!BB66:BM97,26,FALSE),HLOOKUP('7030 Ballast Calculator'!E32,AS66:AY97,26,FALSE))</f>
        <v>19</v>
      </c>
      <c r="BR91" s="10"/>
    </row>
    <row r="92" spans="44:70" ht="12.75" customHeight="1">
      <c r="AR92" s="35">
        <v>25000</v>
      </c>
      <c r="AS92" s="55" t="s">
        <v>56</v>
      </c>
      <c r="AT92" s="55" t="s">
        <v>56</v>
      </c>
      <c r="AU92" s="55" t="s">
        <v>56</v>
      </c>
      <c r="AV92" s="55" t="s">
        <v>56</v>
      </c>
      <c r="AW92" s="55">
        <v>25</v>
      </c>
      <c r="AX92" s="55">
        <v>25</v>
      </c>
      <c r="AY92" s="55">
        <v>20</v>
      </c>
      <c r="AZ92" s="11"/>
      <c r="BA92" s="35">
        <v>25000</v>
      </c>
      <c r="BB92" s="55" t="s">
        <v>56</v>
      </c>
      <c r="BC92" s="160" t="s">
        <v>56</v>
      </c>
      <c r="BD92" s="55">
        <v>29</v>
      </c>
      <c r="BE92" s="55">
        <v>21</v>
      </c>
      <c r="BF92" s="55">
        <v>18</v>
      </c>
      <c r="BG92" s="55">
        <v>46</v>
      </c>
      <c r="BH92" s="55">
        <v>31</v>
      </c>
      <c r="BI92" s="55">
        <v>20</v>
      </c>
      <c r="BJ92" s="55">
        <v>17</v>
      </c>
      <c r="BK92" s="55">
        <v>15</v>
      </c>
      <c r="BL92" s="55">
        <v>11</v>
      </c>
      <c r="BM92" s="55">
        <v>27</v>
      </c>
      <c r="BN92" s="11"/>
      <c r="BO92" s="35">
        <v>25000</v>
      </c>
      <c r="BP92" s="29">
        <f>IF('7030 Ballast Calculator'!D34=1,HLOOKUP('7030 Ballast Calculator'!E32,'7030 Wheel Data Sheet'!BB66:BM97,27,FALSE),HLOOKUP('7030 Ballast Calculator'!E32,AS66:AY97,27,FALSE))</f>
        <v>20</v>
      </c>
      <c r="BR92" s="10"/>
    </row>
    <row r="93" spans="44:70" ht="12.75" customHeight="1">
      <c r="AR93" s="35">
        <v>26000</v>
      </c>
      <c r="AS93" s="55" t="s">
        <v>56</v>
      </c>
      <c r="AT93" s="55" t="s">
        <v>56</v>
      </c>
      <c r="AU93" s="55" t="s">
        <v>56</v>
      </c>
      <c r="AV93" s="55" t="s">
        <v>56</v>
      </c>
      <c r="AW93" s="55">
        <v>28</v>
      </c>
      <c r="AX93" s="55">
        <v>27</v>
      </c>
      <c r="AY93" s="55">
        <v>21</v>
      </c>
      <c r="AZ93" s="11"/>
      <c r="BA93" s="35">
        <v>26000</v>
      </c>
      <c r="BB93" s="55" t="s">
        <v>56</v>
      </c>
      <c r="BC93" s="160" t="s">
        <v>56</v>
      </c>
      <c r="BD93" s="55">
        <v>32</v>
      </c>
      <c r="BE93" s="55">
        <v>23</v>
      </c>
      <c r="BF93" s="55">
        <v>19</v>
      </c>
      <c r="BG93" s="55" t="s">
        <v>56</v>
      </c>
      <c r="BH93" s="55">
        <v>32</v>
      </c>
      <c r="BI93" s="55">
        <v>21</v>
      </c>
      <c r="BJ93" s="55">
        <v>17</v>
      </c>
      <c r="BK93" s="55">
        <v>16</v>
      </c>
      <c r="BL93" s="55">
        <v>12</v>
      </c>
      <c r="BM93" s="55">
        <v>29</v>
      </c>
      <c r="BN93" s="11"/>
      <c r="BO93" s="35">
        <v>26000</v>
      </c>
      <c r="BP93" s="29">
        <f>IF('7030 Ballast Calculator'!D34=1,HLOOKUP('7030 Ballast Calculator'!E32,'7030 Wheel Data Sheet'!BB66:BM97,28,FALSE),HLOOKUP('7030 Ballast Calculator'!E32,AS66:AY97,28,FALSE))</f>
        <v>21</v>
      </c>
      <c r="BR93" s="10"/>
    </row>
    <row r="94" spans="44:70" ht="12.75" customHeight="1">
      <c r="AR94" s="35">
        <v>27000</v>
      </c>
      <c r="AS94" s="55" t="s">
        <v>56</v>
      </c>
      <c r="AT94" s="55" t="s">
        <v>56</v>
      </c>
      <c r="AU94" s="55" t="s">
        <v>56</v>
      </c>
      <c r="AV94" s="55" t="s">
        <v>56</v>
      </c>
      <c r="AW94" s="55">
        <v>31</v>
      </c>
      <c r="AX94" s="55">
        <v>29</v>
      </c>
      <c r="AY94" s="55">
        <v>22</v>
      </c>
      <c r="AZ94" s="11"/>
      <c r="BA94" s="35">
        <v>27000</v>
      </c>
      <c r="BB94" s="55" t="s">
        <v>56</v>
      </c>
      <c r="BC94" s="160" t="s">
        <v>56</v>
      </c>
      <c r="BD94" s="55" t="s">
        <v>56</v>
      </c>
      <c r="BE94" s="55">
        <v>23</v>
      </c>
      <c r="BF94" s="55">
        <v>20</v>
      </c>
      <c r="BG94" s="55" t="s">
        <v>56</v>
      </c>
      <c r="BH94" s="55" t="s">
        <v>56</v>
      </c>
      <c r="BI94" s="55">
        <v>21</v>
      </c>
      <c r="BJ94" s="55">
        <v>18</v>
      </c>
      <c r="BK94" s="55">
        <v>17</v>
      </c>
      <c r="BL94" s="55">
        <v>13</v>
      </c>
      <c r="BM94" s="55">
        <v>33</v>
      </c>
      <c r="BN94" s="11"/>
      <c r="BO94" s="35">
        <v>27000</v>
      </c>
      <c r="BP94" s="29">
        <f>IF('7030 Ballast Calculator'!D34=1,HLOOKUP('7030 Ballast Calculator'!E32,'7030 Wheel Data Sheet'!BB66:BM97,29,FALSE),HLOOKUP('7030 Ballast Calculator'!E32,AS66:AY97,29,FALSE))</f>
        <v>21</v>
      </c>
      <c r="BR94" s="10"/>
    </row>
    <row r="95" spans="44:70" ht="12.75" customHeight="1">
      <c r="AR95" s="35">
        <v>28000</v>
      </c>
      <c r="AS95" s="55" t="s">
        <v>56</v>
      </c>
      <c r="AT95" s="55" t="s">
        <v>56</v>
      </c>
      <c r="AU95" s="55" t="s">
        <v>56</v>
      </c>
      <c r="AV95" s="55" t="s">
        <v>56</v>
      </c>
      <c r="AW95" s="55">
        <v>33</v>
      </c>
      <c r="AX95" s="55">
        <v>33</v>
      </c>
      <c r="AY95" s="55">
        <v>23</v>
      </c>
      <c r="AZ95" s="11"/>
      <c r="BA95" s="35">
        <v>28000</v>
      </c>
      <c r="BB95" s="55" t="s">
        <v>56</v>
      </c>
      <c r="BC95" s="160" t="s">
        <v>56</v>
      </c>
      <c r="BD95" s="55" t="s">
        <v>56</v>
      </c>
      <c r="BE95" s="55" t="s">
        <v>56</v>
      </c>
      <c r="BF95" s="55">
        <v>21</v>
      </c>
      <c r="BG95" s="55" t="s">
        <v>56</v>
      </c>
      <c r="BH95" s="55" t="s">
        <v>56</v>
      </c>
      <c r="BI95" s="55">
        <v>24</v>
      </c>
      <c r="BJ95" s="55">
        <v>19</v>
      </c>
      <c r="BK95" s="55">
        <v>17</v>
      </c>
      <c r="BL95" s="55">
        <v>13</v>
      </c>
      <c r="BM95" s="55" t="s">
        <v>56</v>
      </c>
      <c r="BN95" s="11"/>
      <c r="BO95" s="35">
        <v>28000</v>
      </c>
      <c r="BP95" s="29">
        <f>IF('7030 Ballast Calculator'!D34=1,HLOOKUP('7030 Ballast Calculator'!E32,'7030 Wheel Data Sheet'!BB66:BM97,30,FALSE),HLOOKUP('7030 Ballast Calculator'!E32,AS66:AY97,30,FALSE))</f>
        <v>24</v>
      </c>
      <c r="BR95" s="10"/>
    </row>
    <row r="96" spans="44:70" ht="12.75" customHeight="1">
      <c r="AR96" s="35">
        <v>29000</v>
      </c>
      <c r="AS96" s="55" t="s">
        <v>56</v>
      </c>
      <c r="AT96" s="55" t="s">
        <v>56</v>
      </c>
      <c r="AU96" s="55" t="s">
        <v>56</v>
      </c>
      <c r="AV96" s="55" t="s">
        <v>56</v>
      </c>
      <c r="AW96" s="55" t="s">
        <v>56</v>
      </c>
      <c r="AX96" s="55" t="s">
        <v>56</v>
      </c>
      <c r="AY96" s="55" t="s">
        <v>56</v>
      </c>
      <c r="AZ96" s="11"/>
      <c r="BA96" s="35">
        <v>29000</v>
      </c>
      <c r="BB96" s="55" t="s">
        <v>56</v>
      </c>
      <c r="BC96" s="160" t="s">
        <v>56</v>
      </c>
      <c r="BD96" s="55" t="s">
        <v>56</v>
      </c>
      <c r="BE96" s="55" t="s">
        <v>56</v>
      </c>
      <c r="BF96" s="55">
        <v>22</v>
      </c>
      <c r="BG96" s="55" t="s">
        <v>56</v>
      </c>
      <c r="BH96" s="55" t="s">
        <v>56</v>
      </c>
      <c r="BI96" s="55">
        <v>26</v>
      </c>
      <c r="BJ96" s="55">
        <v>20</v>
      </c>
      <c r="BK96" s="55">
        <v>18</v>
      </c>
      <c r="BL96" s="55">
        <v>14</v>
      </c>
      <c r="BM96" s="55" t="s">
        <v>56</v>
      </c>
      <c r="BN96" s="11"/>
      <c r="BO96" s="35">
        <v>29000</v>
      </c>
      <c r="BP96" s="29">
        <f>IF('7030 Ballast Calculator'!D34=1,HLOOKUP('7030 Ballast Calculator'!E32,'7030 Wheel Data Sheet'!BB66:BM97,31,FALSE),HLOOKUP('7030 Ballast Calculator'!E32,AS66:AY97,31,FALSE))</f>
        <v>26</v>
      </c>
      <c r="BR96" s="10"/>
    </row>
    <row r="97" spans="44:70" ht="12.75" customHeight="1">
      <c r="AR97" s="35">
        <v>30000</v>
      </c>
      <c r="AS97" s="55" t="s">
        <v>56</v>
      </c>
      <c r="AT97" s="55" t="s">
        <v>56</v>
      </c>
      <c r="AU97" s="55" t="s">
        <v>56</v>
      </c>
      <c r="AV97" s="55" t="s">
        <v>56</v>
      </c>
      <c r="AW97" s="55" t="s">
        <v>56</v>
      </c>
      <c r="AX97" s="55" t="s">
        <v>56</v>
      </c>
      <c r="AY97" s="55" t="s">
        <v>56</v>
      </c>
      <c r="AZ97" s="11"/>
      <c r="BA97" s="35">
        <v>30000</v>
      </c>
      <c r="BB97" s="55" t="s">
        <v>56</v>
      </c>
      <c r="BC97" s="160" t="s">
        <v>56</v>
      </c>
      <c r="BD97" s="55" t="s">
        <v>56</v>
      </c>
      <c r="BE97" s="55" t="s">
        <v>56</v>
      </c>
      <c r="BF97" s="55">
        <v>23</v>
      </c>
      <c r="BG97" s="55" t="s">
        <v>56</v>
      </c>
      <c r="BH97" s="55" t="s">
        <v>56</v>
      </c>
      <c r="BI97" s="55">
        <v>29</v>
      </c>
      <c r="BJ97" s="55">
        <v>21</v>
      </c>
      <c r="BK97" s="55">
        <v>19</v>
      </c>
      <c r="BL97" s="55">
        <v>15</v>
      </c>
      <c r="BM97" s="55" t="s">
        <v>56</v>
      </c>
      <c r="BN97" s="11"/>
      <c r="BO97" s="35">
        <v>30000</v>
      </c>
      <c r="BP97" s="29">
        <f>IF('7030 Ballast Calculator'!D34=1,HLOOKUP('7030 Ballast Calculator'!E32,'7030 Wheel Data Sheet'!BB66:BM97,32,FALSE),HLOOKUP('7030 Ballast Calculator'!E32,AS66:AY97,32,FALSE))</f>
        <v>29</v>
      </c>
      <c r="BR97" s="10"/>
    </row>
    <row r="98" ht="12.75">
      <c r="AR98" s="5"/>
    </row>
    <row r="99" spans="69:72" ht="15.75">
      <c r="BQ99" s="265" t="s">
        <v>19</v>
      </c>
      <c r="BR99" s="265"/>
      <c r="BS99" s="265"/>
      <c r="BT99" s="44"/>
    </row>
    <row r="100" spans="69:71" ht="12.75">
      <c r="BQ100" s="32">
        <v>1</v>
      </c>
      <c r="BR100" s="32" t="s">
        <v>10</v>
      </c>
      <c r="BS100" s="29">
        <f>IF('7030 Ballast Calculator'!D29=1,"14L-16.1, 10PR","")</f>
      </c>
    </row>
    <row r="101" spans="69:71" ht="12.75">
      <c r="BQ101" s="32">
        <v>2</v>
      </c>
      <c r="BR101" s="32" t="s">
        <v>10</v>
      </c>
      <c r="BS101" s="29">
        <f>IF('7030 Ballast Calculator'!D29=1,"16.5L16.1, 8PR","")</f>
      </c>
    </row>
    <row r="102" spans="69:71" ht="12.75">
      <c r="BQ102" s="32">
        <v>3</v>
      </c>
      <c r="BR102" s="32" t="s">
        <v>10</v>
      </c>
      <c r="BS102" s="29">
        <f>IF('7030 Ballast Calculator'!D29=1,"11.00-16, 8PR","")</f>
      </c>
    </row>
    <row r="103" spans="69:71" ht="12.75">
      <c r="BQ103" s="32">
        <v>4</v>
      </c>
      <c r="BR103" s="32" t="s">
        <v>10</v>
      </c>
      <c r="BS103" s="29">
        <f>IF('7030 Ballast Calculator'!D29=1,"11.00-16, 12PR","")</f>
      </c>
    </row>
    <row r="104" spans="69:71" ht="12.75">
      <c r="BQ104" s="32">
        <v>5</v>
      </c>
      <c r="BR104" s="32" t="s">
        <v>10</v>
      </c>
      <c r="BS104" s="29">
        <f>IF('7030 Ballast Calculator'!D29=1,"11.00-20, 12PR","")</f>
      </c>
    </row>
    <row r="105" spans="69:71" ht="12.75">
      <c r="BQ105" s="32">
        <v>6</v>
      </c>
      <c r="BR105" s="32" t="s">
        <v>10</v>
      </c>
      <c r="BS105" s="29">
        <f>IF('7030 Ballast Calculator'!D29=1,"11.00-24, 12PR","")</f>
      </c>
    </row>
    <row r="106" spans="69:71" ht="12.75">
      <c r="BQ106" s="32">
        <v>7</v>
      </c>
      <c r="BR106" s="32">
        <v>41</v>
      </c>
      <c r="BS106" s="29" t="str">
        <f>IF('7030 Ballast Calculator'!D29&gt;1,"14.9R30","")</f>
        <v>14.9R30</v>
      </c>
    </row>
    <row r="107" spans="69:71" ht="12.75">
      <c r="BQ107" s="32">
        <v>8</v>
      </c>
      <c r="BR107" s="32">
        <v>41</v>
      </c>
      <c r="BS107" s="29" t="str">
        <f>IF('7030 Ballast Calculator'!D29&gt;1,"380/85R30","")</f>
        <v>380/85R30</v>
      </c>
    </row>
    <row r="108" spans="69:71" ht="12.75">
      <c r="BQ108" s="32">
        <v>9</v>
      </c>
      <c r="BR108" s="32">
        <v>41</v>
      </c>
      <c r="BS108" s="29" t="str">
        <f>IF('7030 Ballast Calculator'!D29&gt;1,"16.9R28","")</f>
        <v>16.9R28</v>
      </c>
    </row>
    <row r="109" spans="69:71" ht="12.75">
      <c r="BQ109" s="32">
        <v>10</v>
      </c>
      <c r="BR109" s="32">
        <v>41</v>
      </c>
      <c r="BS109" s="29" t="str">
        <f>IF('7030 Ballast Calculator'!D29&gt;1,"290/95R34","")</f>
        <v>290/95R34</v>
      </c>
    </row>
    <row r="110" spans="69:71" ht="12.75">
      <c r="BQ110" s="32">
        <v>11</v>
      </c>
      <c r="BR110" s="32">
        <v>41</v>
      </c>
      <c r="BS110" s="29" t="str">
        <f>IF('7030 Ballast Calculator'!D29&gt;1,"320/85R34","")</f>
        <v>320/85R34</v>
      </c>
    </row>
    <row r="111" spans="69:71" ht="12.75">
      <c r="BQ111" s="32">
        <v>12</v>
      </c>
      <c r="BR111" s="32">
        <v>41</v>
      </c>
      <c r="BS111" s="29" t="str">
        <f>IF('7030 Ballast Calculator'!D29&gt;1,"420/85R28","")</f>
        <v>420/85R28</v>
      </c>
    </row>
    <row r="112" spans="69:71" ht="12.75">
      <c r="BQ112" s="32">
        <v>13</v>
      </c>
      <c r="BR112" s="32">
        <v>41</v>
      </c>
      <c r="BS112" s="29" t="str">
        <f>IF('7030 Ballast Calculator'!D29&gt;1,"480/70R28","")</f>
        <v>480/70R28</v>
      </c>
    </row>
    <row r="113" spans="69:71" ht="12.75">
      <c r="BQ113" s="32">
        <v>14</v>
      </c>
      <c r="BR113" s="32">
        <v>42</v>
      </c>
      <c r="BS113" s="29" t="str">
        <f>IF('7030 Ballast Calculator'!D29&gt;1,"14.9R34","")</f>
        <v>14.9R34</v>
      </c>
    </row>
    <row r="114" spans="69:71" ht="12.75">
      <c r="BQ114" s="32">
        <v>15</v>
      </c>
      <c r="BR114" s="32">
        <v>42</v>
      </c>
      <c r="BS114" s="29" t="str">
        <f>IF('7030 Ballast Calculator'!D29&gt;1,"380/85R34","")</f>
        <v>380/85R34</v>
      </c>
    </row>
    <row r="115" spans="69:71" ht="12.75">
      <c r="BQ115" s="32">
        <v>16</v>
      </c>
      <c r="BR115" s="32">
        <v>42</v>
      </c>
      <c r="BS115" s="29" t="str">
        <f>IF('7030 Ballast Calculator'!D29&gt;1,"290/90R38","")</f>
        <v>290/90R38</v>
      </c>
    </row>
    <row r="116" spans="69:71" ht="12.75">
      <c r="BQ116" s="32">
        <v>17</v>
      </c>
      <c r="BR116" s="32">
        <v>42</v>
      </c>
      <c r="BS116" s="29" t="str">
        <f>IF('7030 Ballast Calculator'!D29&gt;1,"320/85R38","")</f>
        <v>320/85R38</v>
      </c>
    </row>
    <row r="117" spans="69:71" ht="12.75">
      <c r="BQ117" s="32">
        <v>18</v>
      </c>
      <c r="BR117" s="32">
        <v>42</v>
      </c>
      <c r="BS117" s="29" t="str">
        <f>IF('7030 Ballast Calculator'!D29&gt;1,"16.9R30","")</f>
        <v>16.9R30</v>
      </c>
    </row>
    <row r="118" spans="69:71" ht="12.75">
      <c r="BQ118" s="32">
        <v>19</v>
      </c>
      <c r="BR118" s="32">
        <v>42</v>
      </c>
      <c r="BS118" s="29" t="str">
        <f>IF('7030 Ballast Calculator'!D29&gt;1,"420/90R30","")</f>
        <v>420/90R30</v>
      </c>
    </row>
    <row r="119" spans="69:71" ht="12.75">
      <c r="BQ119" s="32">
        <v>20</v>
      </c>
      <c r="BR119" s="32">
        <v>42</v>
      </c>
      <c r="BS119" s="29" t="str">
        <f>IF('7030 Ballast Calculator'!D29&gt;1,"600/65R28","")</f>
        <v>600/65R28</v>
      </c>
    </row>
    <row r="120" spans="69:71" ht="12.75">
      <c r="BQ120" s="32">
        <v>21</v>
      </c>
      <c r="BR120" s="32">
        <v>42</v>
      </c>
      <c r="BS120" s="29" t="str">
        <f>IF('7030 Ballast Calculator'!D29&gt;1,"480/70R30","")</f>
        <v>480/70R30</v>
      </c>
    </row>
    <row r="121" spans="69:71" ht="12.75">
      <c r="BQ121" s="32">
        <v>22</v>
      </c>
      <c r="BR121" s="32">
        <v>43</v>
      </c>
      <c r="BS121" s="29" t="str">
        <f>IF('7030 Ballast Calculator'!D29&gt;1,"320/80R42","")</f>
        <v>320/80R42</v>
      </c>
    </row>
    <row r="122" spans="69:71" ht="12.75">
      <c r="BQ122" s="32">
        <v>23</v>
      </c>
      <c r="BR122" s="32">
        <v>43</v>
      </c>
      <c r="BS122" s="29" t="str">
        <f>IF('7030 Ballast Calculator'!D29&gt;1,"380/80R38","")</f>
        <v>380/80R38</v>
      </c>
    </row>
    <row r="123" spans="69:71" ht="12.75">
      <c r="BQ123" s="32">
        <v>24</v>
      </c>
      <c r="BR123" s="32">
        <v>43</v>
      </c>
      <c r="BS123" s="29" t="str">
        <f>IF('7030 Ballast Calculator'!D29&gt;1,"420/85R34","")</f>
        <v>420/85R34</v>
      </c>
    </row>
    <row r="124" spans="69:71" ht="12.75">
      <c r="BQ124" s="32">
        <v>25</v>
      </c>
      <c r="BR124" s="32">
        <v>43</v>
      </c>
      <c r="BS124" s="29" t="str">
        <f>IF('7030 Ballast Calculator'!D29&gt;1,"540/65R34","")</f>
        <v>540/65R34</v>
      </c>
    </row>
    <row r="125" spans="69:71" ht="12.75">
      <c r="BQ125" s="32">
        <v>26</v>
      </c>
      <c r="BR125" s="32">
        <v>43</v>
      </c>
      <c r="BS125" s="29" t="str">
        <f>IF('7030 Ballast Calculator'!D29&gt;1,"600/70R30","")</f>
        <v>600/70R30</v>
      </c>
    </row>
    <row r="126" spans="69:71" ht="12.75">
      <c r="BQ126" s="32">
        <v>27</v>
      </c>
      <c r="BR126" s="32">
        <v>43</v>
      </c>
      <c r="BS126" s="29" t="str">
        <f>IF('7030 Ballast Calculator'!D29&gt;1,"480/70R34","")</f>
        <v>480/70R34</v>
      </c>
    </row>
    <row r="127" spans="73:103" ht="12.75">
      <c r="BU127" s="266" t="s">
        <v>106</v>
      </c>
      <c r="BV127" s="267"/>
      <c r="BW127" s="267"/>
      <c r="BX127" s="267"/>
      <c r="BY127" s="267"/>
      <c r="BZ127" s="267"/>
      <c r="CA127" s="267"/>
      <c r="CB127" s="267"/>
      <c r="CC127" s="267"/>
      <c r="CD127" s="267"/>
      <c r="CE127" s="267"/>
      <c r="CF127" s="267"/>
      <c r="CG127" s="267"/>
      <c r="CH127" s="267"/>
      <c r="CI127" s="267"/>
      <c r="CJ127" s="267"/>
      <c r="CK127" s="267"/>
      <c r="CL127" s="267"/>
      <c r="CM127" s="267"/>
      <c r="CN127" s="267"/>
      <c r="CO127" s="267"/>
      <c r="CP127" s="267"/>
      <c r="CQ127" s="267"/>
      <c r="CR127" s="267"/>
      <c r="CS127" s="267"/>
      <c r="CT127" s="267"/>
      <c r="CU127" s="267"/>
      <c r="CV127" s="267"/>
      <c r="CW127" s="267"/>
      <c r="CX127" s="267"/>
      <c r="CY127" s="268"/>
    </row>
    <row r="128" spans="73:103" ht="12.75">
      <c r="BU128" s="32"/>
      <c r="BV128" s="32" t="s">
        <v>92</v>
      </c>
      <c r="BW128" s="32" t="s">
        <v>91</v>
      </c>
      <c r="BX128" s="32" t="s">
        <v>107</v>
      </c>
      <c r="BY128" s="32" t="s">
        <v>90</v>
      </c>
      <c r="BZ128" s="32" t="s">
        <v>93</v>
      </c>
      <c r="CA128" s="32" t="s">
        <v>94</v>
      </c>
      <c r="CB128" s="32" t="s">
        <v>95</v>
      </c>
      <c r="CC128" s="32" t="s">
        <v>96</v>
      </c>
      <c r="CD128" s="32" t="s">
        <v>97</v>
      </c>
      <c r="CE128" s="32" t="s">
        <v>98</v>
      </c>
      <c r="CF128" s="32" t="s">
        <v>99</v>
      </c>
      <c r="CG128" s="32" t="s">
        <v>100</v>
      </c>
      <c r="CH128" s="32" t="s">
        <v>101</v>
      </c>
      <c r="CI128" s="32" t="s">
        <v>61</v>
      </c>
      <c r="CJ128" s="32" t="s">
        <v>48</v>
      </c>
      <c r="CK128" s="32" t="s">
        <v>46</v>
      </c>
      <c r="CL128" s="32" t="s">
        <v>47</v>
      </c>
      <c r="CM128" s="32" t="s">
        <v>44</v>
      </c>
      <c r="CN128" s="32" t="s">
        <v>43</v>
      </c>
      <c r="CO128" s="32" t="s">
        <v>49</v>
      </c>
      <c r="CP128" s="32" t="s">
        <v>45</v>
      </c>
      <c r="CQ128" s="32" t="s">
        <v>50</v>
      </c>
      <c r="CR128" s="32" t="s">
        <v>51</v>
      </c>
      <c r="CS128" s="32" t="s">
        <v>52</v>
      </c>
      <c r="CT128" s="32" t="s">
        <v>54</v>
      </c>
      <c r="CU128" s="32" t="s">
        <v>55</v>
      </c>
      <c r="CV128" s="32" t="s">
        <v>53</v>
      </c>
      <c r="CW128" s="46"/>
      <c r="CX128" s="258" t="str">
        <f>VLOOKUP('7030 Ballast Calculator'!D31,BQ100:BS126,3,FALSE)</f>
        <v>16.9R30</v>
      </c>
      <c r="CY128" s="259"/>
    </row>
    <row r="129" spans="73:103" ht="12.75">
      <c r="BU129" s="32">
        <v>4000</v>
      </c>
      <c r="BV129" s="160">
        <v>28</v>
      </c>
      <c r="BW129" s="160">
        <v>24</v>
      </c>
      <c r="BX129" s="160">
        <v>37</v>
      </c>
      <c r="BY129" s="160">
        <v>37</v>
      </c>
      <c r="BZ129" s="161">
        <v>30</v>
      </c>
      <c r="CA129" s="161">
        <v>26</v>
      </c>
      <c r="CB129" s="160">
        <v>8</v>
      </c>
      <c r="CC129" s="160">
        <v>9</v>
      </c>
      <c r="CD129" s="160">
        <v>8</v>
      </c>
      <c r="CE129" s="160">
        <v>9</v>
      </c>
      <c r="CF129" s="160">
        <v>8</v>
      </c>
      <c r="CG129" s="160">
        <v>8</v>
      </c>
      <c r="CH129" s="160">
        <v>8</v>
      </c>
      <c r="CI129" s="160">
        <v>8</v>
      </c>
      <c r="CJ129" s="160">
        <v>8</v>
      </c>
      <c r="CK129" s="160">
        <v>9</v>
      </c>
      <c r="CL129" s="160">
        <v>8</v>
      </c>
      <c r="CM129" s="160">
        <v>8</v>
      </c>
      <c r="CN129" s="160">
        <v>8</v>
      </c>
      <c r="CO129" s="160">
        <v>8</v>
      </c>
      <c r="CP129" s="160">
        <v>8</v>
      </c>
      <c r="CQ129" s="160">
        <v>8</v>
      </c>
      <c r="CR129" s="160">
        <v>8</v>
      </c>
      <c r="CS129" s="160">
        <v>8</v>
      </c>
      <c r="CT129" s="160">
        <v>8</v>
      </c>
      <c r="CU129" s="160">
        <v>8</v>
      </c>
      <c r="CV129" s="160">
        <v>8</v>
      </c>
      <c r="CW129" s="11"/>
      <c r="CX129" s="29">
        <v>4000</v>
      </c>
      <c r="CY129" s="32">
        <f>HLOOKUP(CX128,BV128:CV154,2,FALSE)</f>
        <v>8</v>
      </c>
    </row>
    <row r="130" spans="73:103" ht="12.75">
      <c r="BU130" s="32">
        <v>4500</v>
      </c>
      <c r="BV130" s="160">
        <v>28</v>
      </c>
      <c r="BW130" s="160">
        <v>24</v>
      </c>
      <c r="BX130" s="160">
        <v>37</v>
      </c>
      <c r="BY130" s="160">
        <v>37</v>
      </c>
      <c r="BZ130" s="161">
        <v>30</v>
      </c>
      <c r="CA130" s="161">
        <v>26</v>
      </c>
      <c r="CB130" s="160">
        <v>9</v>
      </c>
      <c r="CC130" s="160">
        <v>9</v>
      </c>
      <c r="CD130" s="160">
        <v>8</v>
      </c>
      <c r="CE130" s="160">
        <v>11</v>
      </c>
      <c r="CF130" s="160">
        <v>10</v>
      </c>
      <c r="CG130" s="160">
        <v>8</v>
      </c>
      <c r="CH130" s="160">
        <v>8</v>
      </c>
      <c r="CI130" s="160">
        <v>8</v>
      </c>
      <c r="CJ130" s="160">
        <v>8</v>
      </c>
      <c r="CK130" s="160">
        <v>11</v>
      </c>
      <c r="CL130" s="160">
        <v>9</v>
      </c>
      <c r="CM130" s="160">
        <v>8</v>
      </c>
      <c r="CN130" s="160">
        <v>8</v>
      </c>
      <c r="CO130" s="160">
        <v>8</v>
      </c>
      <c r="CP130" s="160">
        <v>8</v>
      </c>
      <c r="CQ130" s="160">
        <v>9</v>
      </c>
      <c r="CR130" s="160">
        <v>8</v>
      </c>
      <c r="CS130" s="160">
        <v>8</v>
      </c>
      <c r="CT130" s="160">
        <v>8</v>
      </c>
      <c r="CU130" s="160">
        <v>8</v>
      </c>
      <c r="CV130" s="160">
        <v>8</v>
      </c>
      <c r="CW130" s="11"/>
      <c r="CX130" s="29">
        <v>4500</v>
      </c>
      <c r="CY130" s="32">
        <f>HLOOKUP(CX128,BV128:CV154,3,FALSE)</f>
        <v>8</v>
      </c>
    </row>
    <row r="131" spans="73:103" ht="12.75">
      <c r="BU131" s="32">
        <v>5000</v>
      </c>
      <c r="BV131" s="160">
        <v>28</v>
      </c>
      <c r="BW131" s="160">
        <v>24</v>
      </c>
      <c r="BX131" s="160">
        <v>37</v>
      </c>
      <c r="BY131" s="160">
        <v>37</v>
      </c>
      <c r="BZ131" s="161">
        <v>30</v>
      </c>
      <c r="CA131" s="161">
        <v>26</v>
      </c>
      <c r="CB131" s="160">
        <v>11</v>
      </c>
      <c r="CC131" s="160">
        <v>9</v>
      </c>
      <c r="CD131" s="160">
        <v>8</v>
      </c>
      <c r="CE131" s="160">
        <v>13</v>
      </c>
      <c r="CF131" s="160">
        <v>13</v>
      </c>
      <c r="CG131" s="160">
        <v>8</v>
      </c>
      <c r="CH131" s="160">
        <v>8</v>
      </c>
      <c r="CI131" s="160">
        <v>9</v>
      </c>
      <c r="CJ131" s="160">
        <v>8</v>
      </c>
      <c r="CK131" s="160">
        <v>13</v>
      </c>
      <c r="CL131" s="160">
        <v>12</v>
      </c>
      <c r="CM131" s="160">
        <v>8</v>
      </c>
      <c r="CN131" s="160">
        <v>8</v>
      </c>
      <c r="CO131" s="160">
        <v>8</v>
      </c>
      <c r="CP131" s="160">
        <v>8</v>
      </c>
      <c r="CQ131" s="160">
        <v>11</v>
      </c>
      <c r="CR131" s="160">
        <v>8</v>
      </c>
      <c r="CS131" s="160">
        <v>8</v>
      </c>
      <c r="CT131" s="160">
        <v>8</v>
      </c>
      <c r="CU131" s="160">
        <v>8</v>
      </c>
      <c r="CV131" s="160">
        <v>8</v>
      </c>
      <c r="CW131" s="11"/>
      <c r="CX131" s="29">
        <v>5000</v>
      </c>
      <c r="CY131" s="32">
        <f>HLOOKUP(CX128,BV128:CV154,4,FALSE)</f>
        <v>8</v>
      </c>
    </row>
    <row r="132" spans="73:103" ht="12.75">
      <c r="BU132" s="32">
        <f>BU131+500</f>
        <v>5500</v>
      </c>
      <c r="BV132" s="160">
        <v>31</v>
      </c>
      <c r="BW132" s="160">
        <v>24</v>
      </c>
      <c r="BX132" s="160">
        <v>40</v>
      </c>
      <c r="BY132" s="160">
        <v>44</v>
      </c>
      <c r="BZ132" s="161">
        <v>35</v>
      </c>
      <c r="CA132" s="161">
        <v>31</v>
      </c>
      <c r="CB132" s="160">
        <v>13</v>
      </c>
      <c r="CC132" s="160">
        <v>10</v>
      </c>
      <c r="CD132" s="160">
        <v>9</v>
      </c>
      <c r="CE132" s="160">
        <v>16</v>
      </c>
      <c r="CF132" s="160">
        <v>14</v>
      </c>
      <c r="CG132" s="160">
        <v>8</v>
      </c>
      <c r="CH132" s="160">
        <v>8</v>
      </c>
      <c r="CI132" s="160">
        <v>11</v>
      </c>
      <c r="CJ132" s="160">
        <v>9</v>
      </c>
      <c r="CK132" s="160">
        <v>16</v>
      </c>
      <c r="CL132" s="160">
        <v>14</v>
      </c>
      <c r="CM132" s="160">
        <v>9</v>
      </c>
      <c r="CN132" s="160">
        <v>8</v>
      </c>
      <c r="CO132" s="160">
        <v>8</v>
      </c>
      <c r="CP132" s="160">
        <v>8</v>
      </c>
      <c r="CQ132" s="160">
        <v>13</v>
      </c>
      <c r="CR132" s="160">
        <v>9</v>
      </c>
      <c r="CS132" s="160">
        <v>8</v>
      </c>
      <c r="CT132" s="160">
        <v>8</v>
      </c>
      <c r="CU132" s="160">
        <v>8</v>
      </c>
      <c r="CV132" s="160">
        <v>8</v>
      </c>
      <c r="CW132" s="11"/>
      <c r="CX132" s="29">
        <f>CX131+500</f>
        <v>5500</v>
      </c>
      <c r="CY132" s="32">
        <f>HLOOKUP(CX128,BV128:CV154,5,FALSE)</f>
        <v>9</v>
      </c>
    </row>
    <row r="133" spans="73:103" ht="12.75">
      <c r="BU133" s="32">
        <f aca="true" t="shared" si="1" ref="BU133:BU154">BU132+500</f>
        <v>6000</v>
      </c>
      <c r="BV133" s="160">
        <v>36</v>
      </c>
      <c r="BW133" s="160">
        <v>26</v>
      </c>
      <c r="BX133" s="160" t="s">
        <v>56</v>
      </c>
      <c r="BY133" s="160">
        <v>50</v>
      </c>
      <c r="BZ133" s="161">
        <v>40</v>
      </c>
      <c r="CA133" s="161">
        <v>34</v>
      </c>
      <c r="CB133" s="160">
        <v>14</v>
      </c>
      <c r="CC133" s="160">
        <v>12</v>
      </c>
      <c r="CD133" s="160">
        <v>9</v>
      </c>
      <c r="CE133" s="160">
        <v>17</v>
      </c>
      <c r="CF133" s="160">
        <v>16</v>
      </c>
      <c r="CG133" s="160">
        <v>8</v>
      </c>
      <c r="CH133" s="160">
        <v>9</v>
      </c>
      <c r="CI133" s="160">
        <v>13</v>
      </c>
      <c r="CJ133" s="160">
        <v>10</v>
      </c>
      <c r="CK133" s="160">
        <v>17</v>
      </c>
      <c r="CL133" s="160">
        <v>15</v>
      </c>
      <c r="CM133" s="160">
        <v>10</v>
      </c>
      <c r="CN133" s="160">
        <v>8</v>
      </c>
      <c r="CO133" s="160">
        <v>8</v>
      </c>
      <c r="CP133" s="160">
        <v>9</v>
      </c>
      <c r="CQ133" s="160">
        <v>15</v>
      </c>
      <c r="CR133" s="160">
        <v>10</v>
      </c>
      <c r="CS133" s="160">
        <v>8</v>
      </c>
      <c r="CT133" s="160">
        <v>8</v>
      </c>
      <c r="CU133" s="160">
        <v>8</v>
      </c>
      <c r="CV133" s="160">
        <v>8</v>
      </c>
      <c r="CW133" s="11"/>
      <c r="CX133" s="29">
        <f aca="true" t="shared" si="2" ref="CX133:CX154">CX132+500</f>
        <v>6000</v>
      </c>
      <c r="CY133" s="32">
        <f>HLOOKUP(CX128,BV128:CV154,6,FALSE)</f>
        <v>10</v>
      </c>
    </row>
    <row r="134" spans="73:103" ht="12.75">
      <c r="BU134" s="32">
        <f t="shared" si="1"/>
        <v>6500</v>
      </c>
      <c r="BV134" s="160">
        <v>41</v>
      </c>
      <c r="BW134" s="160">
        <v>29</v>
      </c>
      <c r="BX134" s="160" t="s">
        <v>56</v>
      </c>
      <c r="BY134" s="160">
        <v>55</v>
      </c>
      <c r="BZ134" s="161">
        <v>45</v>
      </c>
      <c r="CA134" s="161">
        <v>37</v>
      </c>
      <c r="CB134" s="160">
        <v>17</v>
      </c>
      <c r="CC134" s="160">
        <v>15</v>
      </c>
      <c r="CD134" s="160">
        <v>12</v>
      </c>
      <c r="CE134" s="160">
        <v>20</v>
      </c>
      <c r="CF134" s="160">
        <v>18</v>
      </c>
      <c r="CG134" s="160">
        <v>8</v>
      </c>
      <c r="CH134" s="160">
        <v>10</v>
      </c>
      <c r="CI134" s="160">
        <v>15</v>
      </c>
      <c r="CJ134" s="160">
        <v>13</v>
      </c>
      <c r="CK134" s="160">
        <v>19</v>
      </c>
      <c r="CL134" s="160">
        <v>17</v>
      </c>
      <c r="CM134" s="160">
        <v>12</v>
      </c>
      <c r="CN134" s="160">
        <v>9</v>
      </c>
      <c r="CO134" s="160">
        <v>8</v>
      </c>
      <c r="CP134" s="160">
        <v>10</v>
      </c>
      <c r="CQ134" s="160">
        <v>17</v>
      </c>
      <c r="CR134" s="160">
        <v>13</v>
      </c>
      <c r="CS134" s="160">
        <v>10</v>
      </c>
      <c r="CT134" s="160">
        <v>8</v>
      </c>
      <c r="CU134" s="160">
        <v>8</v>
      </c>
      <c r="CV134" s="160">
        <v>9</v>
      </c>
      <c r="CW134" s="11"/>
      <c r="CX134" s="29">
        <f t="shared" si="2"/>
        <v>6500</v>
      </c>
      <c r="CY134" s="32">
        <f>HLOOKUP(CX128,BV128:CV154,7,FALSE)</f>
        <v>12</v>
      </c>
    </row>
    <row r="135" spans="73:103" ht="12.75">
      <c r="BU135" s="32">
        <f t="shared" si="1"/>
        <v>7000</v>
      </c>
      <c r="BV135" s="160" t="s">
        <v>56</v>
      </c>
      <c r="BW135" s="160">
        <v>32</v>
      </c>
      <c r="BX135" s="160" t="s">
        <v>56</v>
      </c>
      <c r="BY135" s="160">
        <v>60</v>
      </c>
      <c r="BZ135" s="161">
        <v>52</v>
      </c>
      <c r="CA135" s="161">
        <v>42</v>
      </c>
      <c r="CB135" s="160">
        <v>19</v>
      </c>
      <c r="CC135" s="160">
        <v>16</v>
      </c>
      <c r="CD135" s="160">
        <v>15</v>
      </c>
      <c r="CE135" s="160">
        <v>22</v>
      </c>
      <c r="CF135" s="160">
        <v>20</v>
      </c>
      <c r="CG135" s="160">
        <v>9</v>
      </c>
      <c r="CH135" s="160">
        <v>12</v>
      </c>
      <c r="CI135" s="160">
        <v>17</v>
      </c>
      <c r="CJ135" s="161">
        <v>14</v>
      </c>
      <c r="CK135" s="160">
        <v>21</v>
      </c>
      <c r="CL135" s="160">
        <v>18</v>
      </c>
      <c r="CM135" s="160">
        <v>14</v>
      </c>
      <c r="CN135" s="160">
        <v>11</v>
      </c>
      <c r="CO135" s="160">
        <v>8</v>
      </c>
      <c r="CP135" s="160">
        <v>11</v>
      </c>
      <c r="CQ135" s="160">
        <v>18</v>
      </c>
      <c r="CR135" s="160">
        <v>14</v>
      </c>
      <c r="CS135" s="160">
        <v>11</v>
      </c>
      <c r="CT135" s="160">
        <v>9</v>
      </c>
      <c r="CU135" s="160">
        <v>8</v>
      </c>
      <c r="CV135" s="160">
        <v>10</v>
      </c>
      <c r="CW135" s="11"/>
      <c r="CX135" s="29">
        <f t="shared" si="2"/>
        <v>7000</v>
      </c>
      <c r="CY135" s="32">
        <f>HLOOKUP(CX128,BV128:CV154,8,FALSE)</f>
        <v>14</v>
      </c>
    </row>
    <row r="136" spans="73:103" ht="12.75">
      <c r="BU136" s="32">
        <f t="shared" si="1"/>
        <v>7500</v>
      </c>
      <c r="BV136" s="160" t="s">
        <v>56</v>
      </c>
      <c r="BW136" s="160" t="s">
        <v>56</v>
      </c>
      <c r="BX136" s="160" t="s">
        <v>56</v>
      </c>
      <c r="BY136" s="160" t="s">
        <v>56</v>
      </c>
      <c r="BZ136" s="161">
        <v>57</v>
      </c>
      <c r="CA136" s="161">
        <v>46</v>
      </c>
      <c r="CB136" s="160">
        <v>21</v>
      </c>
      <c r="CC136" s="160">
        <v>17</v>
      </c>
      <c r="CD136" s="160">
        <v>16</v>
      </c>
      <c r="CE136" s="160">
        <v>24</v>
      </c>
      <c r="CF136" s="160">
        <v>22</v>
      </c>
      <c r="CG136" s="160">
        <v>10</v>
      </c>
      <c r="CH136" s="160">
        <v>14</v>
      </c>
      <c r="CI136" s="160">
        <v>19</v>
      </c>
      <c r="CJ136" s="161">
        <v>16</v>
      </c>
      <c r="CK136" s="160">
        <v>24</v>
      </c>
      <c r="CL136" s="160">
        <v>21</v>
      </c>
      <c r="CM136" s="160">
        <v>15</v>
      </c>
      <c r="CN136" s="160">
        <v>13</v>
      </c>
      <c r="CO136" s="160">
        <v>9</v>
      </c>
      <c r="CP136" s="160">
        <v>13</v>
      </c>
      <c r="CQ136" s="160">
        <v>20</v>
      </c>
      <c r="CR136" s="160">
        <v>16</v>
      </c>
      <c r="CS136" s="160">
        <v>13</v>
      </c>
      <c r="CT136" s="160">
        <v>10</v>
      </c>
      <c r="CU136" s="160">
        <v>8</v>
      </c>
      <c r="CV136" s="160">
        <v>11</v>
      </c>
      <c r="CW136" s="11"/>
      <c r="CX136" s="29">
        <f t="shared" si="2"/>
        <v>7500</v>
      </c>
      <c r="CY136" s="32">
        <f>HLOOKUP(CX128,BV128:CV154,9,FALSE)</f>
        <v>15</v>
      </c>
    </row>
    <row r="137" spans="73:103" ht="12.75">
      <c r="BU137" s="32">
        <f t="shared" si="1"/>
        <v>8000</v>
      </c>
      <c r="BV137" s="160" t="s">
        <v>56</v>
      </c>
      <c r="BW137" s="160" t="s">
        <v>56</v>
      </c>
      <c r="BX137" s="160" t="s">
        <v>56</v>
      </c>
      <c r="BY137" s="160" t="s">
        <v>56</v>
      </c>
      <c r="BZ137" s="161" t="s">
        <v>56</v>
      </c>
      <c r="CA137" s="161">
        <v>51</v>
      </c>
      <c r="CB137" s="160">
        <v>24</v>
      </c>
      <c r="CC137" s="160">
        <v>18</v>
      </c>
      <c r="CD137" s="160">
        <v>17</v>
      </c>
      <c r="CE137" s="160">
        <v>26</v>
      </c>
      <c r="CF137" s="160">
        <v>25</v>
      </c>
      <c r="CG137" s="160">
        <v>12</v>
      </c>
      <c r="CH137" s="160">
        <v>15</v>
      </c>
      <c r="CI137" s="160">
        <v>22</v>
      </c>
      <c r="CJ137" s="161">
        <v>17</v>
      </c>
      <c r="CK137" s="160">
        <v>27</v>
      </c>
      <c r="CL137" s="160">
        <v>23</v>
      </c>
      <c r="CM137" s="160">
        <v>17</v>
      </c>
      <c r="CN137" s="160">
        <v>14</v>
      </c>
      <c r="CO137" s="160">
        <v>10</v>
      </c>
      <c r="CP137" s="160">
        <v>10</v>
      </c>
      <c r="CQ137" s="160">
        <v>22</v>
      </c>
      <c r="CR137" s="160">
        <v>17</v>
      </c>
      <c r="CS137" s="160">
        <v>14</v>
      </c>
      <c r="CT137" s="160">
        <v>11</v>
      </c>
      <c r="CU137" s="160">
        <v>8</v>
      </c>
      <c r="CV137" s="160">
        <v>13</v>
      </c>
      <c r="CW137" s="11"/>
      <c r="CX137" s="29">
        <f t="shared" si="2"/>
        <v>8000</v>
      </c>
      <c r="CY137" s="32">
        <f>HLOOKUP(CX128,BV128:CV154,10,FALSE)</f>
        <v>17</v>
      </c>
    </row>
    <row r="138" spans="73:103" ht="12.75">
      <c r="BU138" s="32">
        <f t="shared" si="1"/>
        <v>8500</v>
      </c>
      <c r="BV138" s="160" t="s">
        <v>56</v>
      </c>
      <c r="BW138" s="160" t="s">
        <v>56</v>
      </c>
      <c r="BX138" s="160" t="s">
        <v>56</v>
      </c>
      <c r="BY138" s="160" t="s">
        <v>56</v>
      </c>
      <c r="BZ138" s="161" t="s">
        <v>56</v>
      </c>
      <c r="CA138" s="161">
        <v>58</v>
      </c>
      <c r="CB138" s="160">
        <v>26</v>
      </c>
      <c r="CC138" s="160">
        <v>20</v>
      </c>
      <c r="CD138" s="160">
        <v>20</v>
      </c>
      <c r="CE138" s="160">
        <v>28</v>
      </c>
      <c r="CF138" s="160">
        <v>29</v>
      </c>
      <c r="CG138" s="160">
        <v>13</v>
      </c>
      <c r="CH138" s="160">
        <v>16</v>
      </c>
      <c r="CI138" s="160">
        <v>24</v>
      </c>
      <c r="CJ138" s="161">
        <v>19</v>
      </c>
      <c r="CK138" s="160">
        <v>33</v>
      </c>
      <c r="CL138" s="160">
        <v>26</v>
      </c>
      <c r="CM138" s="160">
        <v>19</v>
      </c>
      <c r="CN138" s="160">
        <v>16</v>
      </c>
      <c r="CO138" s="160">
        <v>11</v>
      </c>
      <c r="CP138" s="160">
        <v>16</v>
      </c>
      <c r="CQ138" s="160">
        <v>25</v>
      </c>
      <c r="CR138" s="160">
        <v>18</v>
      </c>
      <c r="CS138" s="160">
        <v>15</v>
      </c>
      <c r="CT138" s="160">
        <v>13</v>
      </c>
      <c r="CU138" s="160">
        <v>9</v>
      </c>
      <c r="CV138" s="160">
        <v>14</v>
      </c>
      <c r="CW138" s="11"/>
      <c r="CX138" s="29">
        <f t="shared" si="2"/>
        <v>8500</v>
      </c>
      <c r="CY138" s="32">
        <f>HLOOKUP(CX128,BV128:CV154,11,FALSE)</f>
        <v>19</v>
      </c>
    </row>
    <row r="139" spans="73:103" ht="12.75">
      <c r="BU139" s="32">
        <f t="shared" si="1"/>
        <v>9000</v>
      </c>
      <c r="BV139" s="160" t="s">
        <v>56</v>
      </c>
      <c r="BW139" s="160" t="s">
        <v>56</v>
      </c>
      <c r="BX139" s="160" t="s">
        <v>56</v>
      </c>
      <c r="BY139" s="160" t="s">
        <v>56</v>
      </c>
      <c r="BZ139" s="160" t="s">
        <v>56</v>
      </c>
      <c r="CA139" s="160" t="s">
        <v>56</v>
      </c>
      <c r="CB139" s="160">
        <v>29</v>
      </c>
      <c r="CC139" s="160">
        <v>23</v>
      </c>
      <c r="CD139" s="160">
        <v>22</v>
      </c>
      <c r="CE139" s="160" t="s">
        <v>56</v>
      </c>
      <c r="CF139" s="160">
        <v>35</v>
      </c>
      <c r="CG139" s="160">
        <v>14</v>
      </c>
      <c r="CH139" s="160">
        <v>17</v>
      </c>
      <c r="CI139" s="160">
        <v>26</v>
      </c>
      <c r="CJ139" s="161">
        <v>20</v>
      </c>
      <c r="CK139" s="160">
        <v>38</v>
      </c>
      <c r="CL139" s="160">
        <v>29</v>
      </c>
      <c r="CM139" s="160">
        <v>21</v>
      </c>
      <c r="CN139" s="160">
        <v>17</v>
      </c>
      <c r="CO139" s="160">
        <v>12</v>
      </c>
      <c r="CP139" s="160">
        <v>17</v>
      </c>
      <c r="CQ139" s="160">
        <v>29</v>
      </c>
      <c r="CR139" s="160">
        <v>20</v>
      </c>
      <c r="CS139" s="160">
        <v>16</v>
      </c>
      <c r="CT139" s="160">
        <v>13</v>
      </c>
      <c r="CU139" s="160">
        <v>10</v>
      </c>
      <c r="CV139" s="160">
        <v>16</v>
      </c>
      <c r="CW139" s="11"/>
      <c r="CX139" s="29">
        <f t="shared" si="2"/>
        <v>9000</v>
      </c>
      <c r="CY139" s="32">
        <f>HLOOKUP(CX128,BV128:CV154,12,FALSE)</f>
        <v>21</v>
      </c>
    </row>
    <row r="140" spans="73:103" ht="12.75">
      <c r="BU140" s="32">
        <f t="shared" si="1"/>
        <v>9500</v>
      </c>
      <c r="BV140" s="160" t="s">
        <v>56</v>
      </c>
      <c r="BW140" s="160" t="s">
        <v>56</v>
      </c>
      <c r="BX140" s="160" t="s">
        <v>56</v>
      </c>
      <c r="BY140" s="160" t="s">
        <v>56</v>
      </c>
      <c r="BZ140" s="160" t="s">
        <v>56</v>
      </c>
      <c r="CA140" s="160" t="s">
        <v>56</v>
      </c>
      <c r="CB140" s="160">
        <v>30</v>
      </c>
      <c r="CC140" s="160">
        <v>23</v>
      </c>
      <c r="CD140" s="160">
        <v>24</v>
      </c>
      <c r="CE140" s="160" t="s">
        <v>56</v>
      </c>
      <c r="CF140" s="160" t="s">
        <v>56</v>
      </c>
      <c r="CG140" s="160">
        <v>15</v>
      </c>
      <c r="CH140" s="160">
        <v>19</v>
      </c>
      <c r="CI140" s="160">
        <v>29</v>
      </c>
      <c r="CJ140" s="161">
        <v>22</v>
      </c>
      <c r="CK140" s="160">
        <v>41</v>
      </c>
      <c r="CL140" s="160">
        <v>34</v>
      </c>
      <c r="CM140" s="160">
        <v>23</v>
      </c>
      <c r="CN140" s="160">
        <v>17</v>
      </c>
      <c r="CO140" s="160">
        <v>13</v>
      </c>
      <c r="CP140" s="160">
        <v>18</v>
      </c>
      <c r="CQ140" s="160">
        <v>34</v>
      </c>
      <c r="CR140" s="160">
        <v>22</v>
      </c>
      <c r="CS140" s="160">
        <v>17</v>
      </c>
      <c r="CT140" s="160">
        <v>15</v>
      </c>
      <c r="CU140" s="160">
        <v>11</v>
      </c>
      <c r="CV140" s="160">
        <v>17</v>
      </c>
      <c r="CW140" s="11"/>
      <c r="CX140" s="29">
        <f t="shared" si="2"/>
        <v>9500</v>
      </c>
      <c r="CY140" s="32">
        <f>HLOOKUP(CX128,BV128:CV154,13,FALSE)</f>
        <v>23</v>
      </c>
    </row>
    <row r="141" spans="73:103" ht="12.75">
      <c r="BU141" s="32">
        <f t="shared" si="1"/>
        <v>10000</v>
      </c>
      <c r="BV141" s="160" t="s">
        <v>56</v>
      </c>
      <c r="BW141" s="160" t="s">
        <v>56</v>
      </c>
      <c r="BX141" s="160" t="s">
        <v>56</v>
      </c>
      <c r="BY141" s="160" t="s">
        <v>56</v>
      </c>
      <c r="BZ141" s="160" t="s">
        <v>56</v>
      </c>
      <c r="CA141" s="160" t="s">
        <v>56</v>
      </c>
      <c r="CB141" s="160" t="s">
        <v>56</v>
      </c>
      <c r="CC141" s="160">
        <v>23</v>
      </c>
      <c r="CD141" s="160">
        <v>24</v>
      </c>
      <c r="CE141" s="160" t="s">
        <v>56</v>
      </c>
      <c r="CF141" s="160" t="s">
        <v>56</v>
      </c>
      <c r="CG141" s="160">
        <v>17</v>
      </c>
      <c r="CH141" s="160">
        <v>20</v>
      </c>
      <c r="CI141" s="160">
        <v>30</v>
      </c>
      <c r="CJ141" s="161">
        <v>23</v>
      </c>
      <c r="CK141" s="160">
        <v>45</v>
      </c>
      <c r="CL141" s="160">
        <v>38</v>
      </c>
      <c r="CM141" s="160">
        <v>24</v>
      </c>
      <c r="CN141" s="160">
        <v>19</v>
      </c>
      <c r="CO141" s="160">
        <v>14</v>
      </c>
      <c r="CP141" s="160">
        <v>19</v>
      </c>
      <c r="CQ141" s="160">
        <v>38</v>
      </c>
      <c r="CR141" s="160">
        <v>23</v>
      </c>
      <c r="CS141" s="160">
        <v>19</v>
      </c>
      <c r="CT141" s="160">
        <v>16</v>
      </c>
      <c r="CU141" s="160">
        <v>12</v>
      </c>
      <c r="CV141" s="160">
        <v>18</v>
      </c>
      <c r="CW141" s="11"/>
      <c r="CX141" s="29">
        <f t="shared" si="2"/>
        <v>10000</v>
      </c>
      <c r="CY141" s="32">
        <f>HLOOKUP(CX128,BV128:CV154,14,FALSE)</f>
        <v>24</v>
      </c>
    </row>
    <row r="142" spans="73:103" ht="12.75">
      <c r="BU142" s="32">
        <f t="shared" si="1"/>
        <v>10500</v>
      </c>
      <c r="BV142" s="160" t="s">
        <v>56</v>
      </c>
      <c r="BW142" s="160" t="s">
        <v>56</v>
      </c>
      <c r="BX142" s="160" t="s">
        <v>56</v>
      </c>
      <c r="BY142" s="160" t="s">
        <v>56</v>
      </c>
      <c r="BZ142" s="160" t="s">
        <v>56</v>
      </c>
      <c r="CA142" s="160" t="s">
        <v>56</v>
      </c>
      <c r="CB142" s="160" t="s">
        <v>56</v>
      </c>
      <c r="CC142" s="160" t="s">
        <v>56</v>
      </c>
      <c r="CD142" s="160">
        <v>24</v>
      </c>
      <c r="CE142" s="160" t="s">
        <v>56</v>
      </c>
      <c r="CF142" s="160" t="s">
        <v>56</v>
      </c>
      <c r="CG142" s="160">
        <v>19</v>
      </c>
      <c r="CH142" s="160">
        <v>22</v>
      </c>
      <c r="CI142" s="160" t="s">
        <v>56</v>
      </c>
      <c r="CJ142" s="161" t="s">
        <v>56</v>
      </c>
      <c r="CK142" s="160" t="s">
        <v>56</v>
      </c>
      <c r="CL142" s="160">
        <v>41</v>
      </c>
      <c r="CM142" s="160">
        <v>27</v>
      </c>
      <c r="CN142" s="160">
        <v>20</v>
      </c>
      <c r="CO142" s="160">
        <v>16</v>
      </c>
      <c r="CP142" s="160">
        <v>21</v>
      </c>
      <c r="CQ142" s="160">
        <v>40</v>
      </c>
      <c r="CR142" s="160">
        <v>25</v>
      </c>
      <c r="CS142" s="160">
        <v>20</v>
      </c>
      <c r="CT142" s="160">
        <v>17</v>
      </c>
      <c r="CU142" s="160">
        <v>13</v>
      </c>
      <c r="CV142" s="160">
        <v>19</v>
      </c>
      <c r="CW142" s="11"/>
      <c r="CX142" s="29">
        <f t="shared" si="2"/>
        <v>10500</v>
      </c>
      <c r="CY142" s="32">
        <f>HLOOKUP(CX128,BV128:CV154,15,FALSE)</f>
        <v>27</v>
      </c>
    </row>
    <row r="143" spans="73:103" ht="12.75">
      <c r="BU143" s="32">
        <f t="shared" si="1"/>
        <v>11000</v>
      </c>
      <c r="BV143" s="160" t="s">
        <v>56</v>
      </c>
      <c r="BW143" s="160" t="s">
        <v>56</v>
      </c>
      <c r="BX143" s="160" t="s">
        <v>56</v>
      </c>
      <c r="BY143" s="160" t="s">
        <v>56</v>
      </c>
      <c r="BZ143" s="160" t="s">
        <v>56</v>
      </c>
      <c r="CA143" s="160" t="s">
        <v>56</v>
      </c>
      <c r="CB143" s="160" t="s">
        <v>56</v>
      </c>
      <c r="CC143" s="160" t="s">
        <v>56</v>
      </c>
      <c r="CD143" s="160" t="s">
        <v>56</v>
      </c>
      <c r="CE143" s="160" t="s">
        <v>56</v>
      </c>
      <c r="CF143" s="160" t="s">
        <v>56</v>
      </c>
      <c r="CG143" s="160" t="s">
        <v>56</v>
      </c>
      <c r="CH143" s="160">
        <v>23</v>
      </c>
      <c r="CI143" s="160" t="s">
        <v>56</v>
      </c>
      <c r="CJ143" s="160" t="s">
        <v>56</v>
      </c>
      <c r="CK143" s="160" t="s">
        <v>56</v>
      </c>
      <c r="CL143" s="160" t="s">
        <v>56</v>
      </c>
      <c r="CM143" s="160">
        <v>29</v>
      </c>
      <c r="CN143" s="160">
        <v>21</v>
      </c>
      <c r="CO143" s="160">
        <v>16</v>
      </c>
      <c r="CP143" s="160">
        <v>22</v>
      </c>
      <c r="CQ143" s="160">
        <v>44</v>
      </c>
      <c r="CR143" s="160">
        <v>29</v>
      </c>
      <c r="CS143" s="160">
        <v>21</v>
      </c>
      <c r="CT143" s="160">
        <v>17</v>
      </c>
      <c r="CU143" s="160">
        <v>14</v>
      </c>
      <c r="CV143" s="160">
        <v>20</v>
      </c>
      <c r="CW143" s="11"/>
      <c r="CX143" s="29">
        <f t="shared" si="2"/>
        <v>11000</v>
      </c>
      <c r="CY143" s="32">
        <f>HLOOKUP(CX128,BV128:CV154,16,FALSE)</f>
        <v>29</v>
      </c>
    </row>
    <row r="144" spans="73:103" ht="12.75">
      <c r="BU144" s="32">
        <f t="shared" si="1"/>
        <v>11500</v>
      </c>
      <c r="BV144" s="160" t="s">
        <v>56</v>
      </c>
      <c r="BW144" s="160" t="s">
        <v>56</v>
      </c>
      <c r="BX144" s="160" t="s">
        <v>56</v>
      </c>
      <c r="BY144" s="160" t="s">
        <v>56</v>
      </c>
      <c r="BZ144" s="160" t="s">
        <v>56</v>
      </c>
      <c r="CA144" s="160" t="s">
        <v>56</v>
      </c>
      <c r="CB144" s="160" t="s">
        <v>56</v>
      </c>
      <c r="CC144" s="160" t="s">
        <v>56</v>
      </c>
      <c r="CD144" s="160" t="s">
        <v>56</v>
      </c>
      <c r="CE144" s="160" t="s">
        <v>56</v>
      </c>
      <c r="CF144" s="160" t="s">
        <v>56</v>
      </c>
      <c r="CG144" s="160" t="s">
        <v>56</v>
      </c>
      <c r="CH144" s="160" t="s">
        <v>56</v>
      </c>
      <c r="CI144" s="160" t="s">
        <v>56</v>
      </c>
      <c r="CJ144" s="160" t="s">
        <v>56</v>
      </c>
      <c r="CK144" s="160" t="s">
        <v>56</v>
      </c>
      <c r="CL144" s="160" t="s">
        <v>56</v>
      </c>
      <c r="CM144" s="160">
        <v>31</v>
      </c>
      <c r="CN144" s="160">
        <v>23</v>
      </c>
      <c r="CO144" s="160">
        <v>17</v>
      </c>
      <c r="CP144" s="160">
        <v>24</v>
      </c>
      <c r="CQ144" s="160" t="s">
        <v>56</v>
      </c>
      <c r="CR144" s="160">
        <v>34</v>
      </c>
      <c r="CS144" s="160">
        <v>23</v>
      </c>
      <c r="CT144" s="160">
        <v>19</v>
      </c>
      <c r="CU144" s="160">
        <v>15</v>
      </c>
      <c r="CV144" s="160">
        <v>22</v>
      </c>
      <c r="CW144" s="11"/>
      <c r="CX144" s="29">
        <f t="shared" si="2"/>
        <v>11500</v>
      </c>
      <c r="CY144" s="32">
        <f>HLOOKUP(CX128,BV128:CV154,17,FALSE)</f>
        <v>31</v>
      </c>
    </row>
    <row r="145" spans="73:103" ht="12.75">
      <c r="BU145" s="32">
        <f t="shared" si="1"/>
        <v>12000</v>
      </c>
      <c r="BV145" s="160" t="s">
        <v>56</v>
      </c>
      <c r="BW145" s="160" t="s">
        <v>56</v>
      </c>
      <c r="BX145" s="160" t="s">
        <v>56</v>
      </c>
      <c r="BY145" s="160" t="s">
        <v>56</v>
      </c>
      <c r="BZ145" s="160" t="s">
        <v>56</v>
      </c>
      <c r="CA145" s="160" t="s">
        <v>56</v>
      </c>
      <c r="CB145" s="160" t="s">
        <v>56</v>
      </c>
      <c r="CC145" s="160" t="s">
        <v>56</v>
      </c>
      <c r="CD145" s="160" t="s">
        <v>56</v>
      </c>
      <c r="CE145" s="160" t="s">
        <v>56</v>
      </c>
      <c r="CF145" s="160" t="s">
        <v>56</v>
      </c>
      <c r="CG145" s="160" t="s">
        <v>56</v>
      </c>
      <c r="CH145" s="160" t="s">
        <v>56</v>
      </c>
      <c r="CI145" s="160" t="s">
        <v>56</v>
      </c>
      <c r="CJ145" s="160" t="s">
        <v>56</v>
      </c>
      <c r="CK145" s="160" t="s">
        <v>56</v>
      </c>
      <c r="CL145" s="160" t="s">
        <v>56</v>
      </c>
      <c r="CM145" s="160">
        <v>35</v>
      </c>
      <c r="CN145" s="160">
        <v>23</v>
      </c>
      <c r="CO145" s="160">
        <v>18</v>
      </c>
      <c r="CP145" s="160">
        <v>26</v>
      </c>
      <c r="CQ145" s="160" t="s">
        <v>56</v>
      </c>
      <c r="CR145" s="160" t="s">
        <v>56</v>
      </c>
      <c r="CS145" s="160">
        <v>25</v>
      </c>
      <c r="CT145" s="160">
        <v>20</v>
      </c>
      <c r="CU145" s="160">
        <v>16</v>
      </c>
      <c r="CV145" s="160">
        <v>23</v>
      </c>
      <c r="CW145" s="11"/>
      <c r="CX145" s="29">
        <f t="shared" si="2"/>
        <v>12000</v>
      </c>
      <c r="CY145" s="32">
        <f>HLOOKUP(CX128,BV128:CV154,18,FALSE)</f>
        <v>35</v>
      </c>
    </row>
    <row r="146" spans="73:103" ht="12.75">
      <c r="BU146" s="32">
        <f t="shared" si="1"/>
        <v>12500</v>
      </c>
      <c r="BV146" s="160" t="s">
        <v>56</v>
      </c>
      <c r="BW146" s="160" t="s">
        <v>56</v>
      </c>
      <c r="BX146" s="160" t="s">
        <v>56</v>
      </c>
      <c r="BY146" s="160" t="s">
        <v>56</v>
      </c>
      <c r="BZ146" s="160" t="s">
        <v>56</v>
      </c>
      <c r="CA146" s="160" t="s">
        <v>56</v>
      </c>
      <c r="CB146" s="160" t="s">
        <v>56</v>
      </c>
      <c r="CC146" s="160" t="s">
        <v>56</v>
      </c>
      <c r="CD146" s="160" t="s">
        <v>56</v>
      </c>
      <c r="CE146" s="160" t="s">
        <v>56</v>
      </c>
      <c r="CF146" s="160" t="s">
        <v>56</v>
      </c>
      <c r="CG146" s="160" t="s">
        <v>56</v>
      </c>
      <c r="CH146" s="160" t="s">
        <v>56</v>
      </c>
      <c r="CI146" s="160" t="s">
        <v>56</v>
      </c>
      <c r="CJ146" s="160" t="s">
        <v>56</v>
      </c>
      <c r="CK146" s="160" t="s">
        <v>56</v>
      </c>
      <c r="CL146" s="160" t="s">
        <v>56</v>
      </c>
      <c r="CM146" s="160" t="s">
        <v>56</v>
      </c>
      <c r="CN146" s="160">
        <v>28</v>
      </c>
      <c r="CO146" s="160">
        <v>20</v>
      </c>
      <c r="CP146" s="160">
        <v>28</v>
      </c>
      <c r="CQ146" s="160" t="s">
        <v>56</v>
      </c>
      <c r="CR146" s="160" t="s">
        <v>56</v>
      </c>
      <c r="CS146" s="160">
        <v>28</v>
      </c>
      <c r="CT146" s="160">
        <v>22</v>
      </c>
      <c r="CU146" s="160">
        <v>17</v>
      </c>
      <c r="CV146" s="160">
        <v>25</v>
      </c>
      <c r="CW146" s="11"/>
      <c r="CX146" s="29">
        <f t="shared" si="2"/>
        <v>12500</v>
      </c>
      <c r="CY146" s="32" t="str">
        <f>HLOOKUP(CX128,BV128:CV154,19,FALSE)</f>
        <v>-</v>
      </c>
    </row>
    <row r="147" spans="73:103" ht="12.75">
      <c r="BU147" s="32">
        <f t="shared" si="1"/>
        <v>13000</v>
      </c>
      <c r="BV147" s="160" t="s">
        <v>56</v>
      </c>
      <c r="BW147" s="160" t="s">
        <v>56</v>
      </c>
      <c r="BX147" s="160" t="s">
        <v>56</v>
      </c>
      <c r="BY147" s="160" t="s">
        <v>56</v>
      </c>
      <c r="BZ147" s="160" t="s">
        <v>56</v>
      </c>
      <c r="CA147" s="160" t="s">
        <v>56</v>
      </c>
      <c r="CB147" s="160" t="s">
        <v>56</v>
      </c>
      <c r="CC147" s="160" t="s">
        <v>56</v>
      </c>
      <c r="CD147" s="160" t="s">
        <v>56</v>
      </c>
      <c r="CE147" s="160" t="s">
        <v>56</v>
      </c>
      <c r="CF147" s="160" t="s">
        <v>56</v>
      </c>
      <c r="CG147" s="160" t="s">
        <v>56</v>
      </c>
      <c r="CH147" s="160" t="s">
        <v>56</v>
      </c>
      <c r="CI147" s="160" t="s">
        <v>56</v>
      </c>
      <c r="CJ147" s="160" t="s">
        <v>56</v>
      </c>
      <c r="CK147" s="160" t="s">
        <v>56</v>
      </c>
      <c r="CL147" s="160" t="s">
        <v>56</v>
      </c>
      <c r="CM147" s="160" t="s">
        <v>56</v>
      </c>
      <c r="CN147" s="160">
        <v>31</v>
      </c>
      <c r="CO147" s="160">
        <v>21</v>
      </c>
      <c r="CP147" s="160">
        <v>31</v>
      </c>
      <c r="CQ147" s="160" t="s">
        <v>56</v>
      </c>
      <c r="CR147" s="160" t="s">
        <v>56</v>
      </c>
      <c r="CS147" s="160">
        <v>35</v>
      </c>
      <c r="CT147" s="160">
        <v>24</v>
      </c>
      <c r="CU147" s="160">
        <v>17</v>
      </c>
      <c r="CV147" s="160">
        <v>28</v>
      </c>
      <c r="CW147" s="11"/>
      <c r="CX147" s="29">
        <f t="shared" si="2"/>
        <v>13000</v>
      </c>
      <c r="CY147" s="32" t="str">
        <f>HLOOKUP(CX128,BV128:CV154,20,FALSE)</f>
        <v>-</v>
      </c>
    </row>
    <row r="148" spans="73:103" ht="12.75">
      <c r="BU148" s="32">
        <f t="shared" si="1"/>
        <v>13500</v>
      </c>
      <c r="BV148" s="160" t="s">
        <v>56</v>
      </c>
      <c r="BW148" s="160" t="s">
        <v>56</v>
      </c>
      <c r="BX148" s="160" t="s">
        <v>56</v>
      </c>
      <c r="BY148" s="160" t="s">
        <v>56</v>
      </c>
      <c r="BZ148" s="160" t="s">
        <v>56</v>
      </c>
      <c r="CA148" s="160" t="s">
        <v>56</v>
      </c>
      <c r="CB148" s="160" t="s">
        <v>56</v>
      </c>
      <c r="CC148" s="160" t="s">
        <v>56</v>
      </c>
      <c r="CD148" s="160" t="s">
        <v>56</v>
      </c>
      <c r="CE148" s="160" t="s">
        <v>56</v>
      </c>
      <c r="CF148" s="160" t="s">
        <v>56</v>
      </c>
      <c r="CG148" s="160" t="s">
        <v>56</v>
      </c>
      <c r="CH148" s="160" t="s">
        <v>56</v>
      </c>
      <c r="CI148" s="160" t="s">
        <v>56</v>
      </c>
      <c r="CJ148" s="160" t="s">
        <v>56</v>
      </c>
      <c r="CK148" s="160" t="s">
        <v>56</v>
      </c>
      <c r="CL148" s="160" t="s">
        <v>56</v>
      </c>
      <c r="CM148" s="160" t="s">
        <v>56</v>
      </c>
      <c r="CN148" s="160">
        <v>35</v>
      </c>
      <c r="CO148" s="160">
        <v>23</v>
      </c>
      <c r="CP148" s="160">
        <v>35</v>
      </c>
      <c r="CQ148" s="160" t="s">
        <v>56</v>
      </c>
      <c r="CR148" s="160" t="s">
        <v>56</v>
      </c>
      <c r="CS148" s="160">
        <v>35</v>
      </c>
      <c r="CT148" s="160">
        <v>26</v>
      </c>
      <c r="CU148" s="160">
        <v>18</v>
      </c>
      <c r="CV148" s="160">
        <v>31</v>
      </c>
      <c r="CW148" s="11"/>
      <c r="CX148" s="29">
        <f t="shared" si="2"/>
        <v>13500</v>
      </c>
      <c r="CY148" s="32" t="str">
        <f>HLOOKUP(CX128,BV128:CV154,21,FALSE)</f>
        <v>-</v>
      </c>
    </row>
    <row r="149" spans="73:103" ht="12.75">
      <c r="BU149" s="32">
        <f t="shared" si="1"/>
        <v>14000</v>
      </c>
      <c r="BV149" s="160" t="s">
        <v>56</v>
      </c>
      <c r="BW149" s="160" t="s">
        <v>56</v>
      </c>
      <c r="BX149" s="160" t="s">
        <v>56</v>
      </c>
      <c r="BY149" s="160" t="s">
        <v>56</v>
      </c>
      <c r="BZ149" s="160" t="s">
        <v>56</v>
      </c>
      <c r="CA149" s="160" t="s">
        <v>56</v>
      </c>
      <c r="CB149" s="160" t="s">
        <v>56</v>
      </c>
      <c r="CC149" s="160" t="s">
        <v>56</v>
      </c>
      <c r="CD149" s="160" t="s">
        <v>56</v>
      </c>
      <c r="CE149" s="160" t="s">
        <v>56</v>
      </c>
      <c r="CF149" s="160" t="s">
        <v>56</v>
      </c>
      <c r="CG149" s="160" t="s">
        <v>56</v>
      </c>
      <c r="CH149" s="160" t="s">
        <v>56</v>
      </c>
      <c r="CI149" s="160" t="s">
        <v>56</v>
      </c>
      <c r="CJ149" s="160" t="s">
        <v>56</v>
      </c>
      <c r="CK149" s="160" t="s">
        <v>56</v>
      </c>
      <c r="CL149" s="160" t="s">
        <v>56</v>
      </c>
      <c r="CM149" s="160" t="s">
        <v>56</v>
      </c>
      <c r="CN149" s="160" t="s">
        <v>56</v>
      </c>
      <c r="CO149" s="160" t="s">
        <v>56</v>
      </c>
      <c r="CP149" s="160">
        <v>39</v>
      </c>
      <c r="CQ149" s="160" t="s">
        <v>56</v>
      </c>
      <c r="CR149" s="160" t="s">
        <v>56</v>
      </c>
      <c r="CS149" s="160" t="s">
        <v>56</v>
      </c>
      <c r="CT149" s="160">
        <v>28</v>
      </c>
      <c r="CU149" s="160">
        <v>19</v>
      </c>
      <c r="CV149" s="160">
        <v>33</v>
      </c>
      <c r="CW149" s="11"/>
      <c r="CX149" s="29">
        <f t="shared" si="2"/>
        <v>14000</v>
      </c>
      <c r="CY149" s="32" t="str">
        <f>HLOOKUP(CX128,BV128:CV154,22,FALSE)</f>
        <v>-</v>
      </c>
    </row>
    <row r="150" spans="73:103" ht="12.75">
      <c r="BU150" s="32">
        <f t="shared" si="1"/>
        <v>14500</v>
      </c>
      <c r="BV150" s="160" t="s">
        <v>56</v>
      </c>
      <c r="BW150" s="160" t="s">
        <v>56</v>
      </c>
      <c r="BX150" s="160" t="s">
        <v>56</v>
      </c>
      <c r="BY150" s="160" t="s">
        <v>56</v>
      </c>
      <c r="BZ150" s="160" t="s">
        <v>56</v>
      </c>
      <c r="CA150" s="160" t="s">
        <v>56</v>
      </c>
      <c r="CB150" s="160" t="s">
        <v>56</v>
      </c>
      <c r="CC150" s="160" t="s">
        <v>56</v>
      </c>
      <c r="CD150" s="160" t="s">
        <v>56</v>
      </c>
      <c r="CE150" s="160" t="s">
        <v>56</v>
      </c>
      <c r="CF150" s="160" t="s">
        <v>56</v>
      </c>
      <c r="CG150" s="160" t="s">
        <v>56</v>
      </c>
      <c r="CH150" s="160" t="s">
        <v>56</v>
      </c>
      <c r="CI150" s="160" t="s">
        <v>56</v>
      </c>
      <c r="CJ150" s="160" t="s">
        <v>56</v>
      </c>
      <c r="CK150" s="160" t="s">
        <v>56</v>
      </c>
      <c r="CL150" s="160" t="s">
        <v>56</v>
      </c>
      <c r="CM150" s="160" t="s">
        <v>56</v>
      </c>
      <c r="CN150" s="160" t="s">
        <v>56</v>
      </c>
      <c r="CO150" s="160" t="s">
        <v>56</v>
      </c>
      <c r="CP150" s="160">
        <v>40</v>
      </c>
      <c r="CQ150" s="160" t="s">
        <v>56</v>
      </c>
      <c r="CR150" s="160" t="s">
        <v>56</v>
      </c>
      <c r="CS150" s="160" t="s">
        <v>56</v>
      </c>
      <c r="CT150" s="160">
        <v>31</v>
      </c>
      <c r="CU150" s="160">
        <v>20</v>
      </c>
      <c r="CV150" s="160">
        <v>37</v>
      </c>
      <c r="CW150" s="11"/>
      <c r="CX150" s="29">
        <f t="shared" si="2"/>
        <v>14500</v>
      </c>
      <c r="CY150" s="32" t="str">
        <f>HLOOKUP(CX128,BV128:CV154,23,FALSE)</f>
        <v>-</v>
      </c>
    </row>
    <row r="151" spans="73:103" ht="12.75">
      <c r="BU151" s="32">
        <f t="shared" si="1"/>
        <v>15000</v>
      </c>
      <c r="BV151" s="160" t="s">
        <v>56</v>
      </c>
      <c r="BW151" s="160" t="s">
        <v>56</v>
      </c>
      <c r="BX151" s="160" t="s">
        <v>56</v>
      </c>
      <c r="BY151" s="160" t="s">
        <v>56</v>
      </c>
      <c r="BZ151" s="160" t="s">
        <v>56</v>
      </c>
      <c r="CA151" s="160" t="s">
        <v>56</v>
      </c>
      <c r="CB151" s="160" t="s">
        <v>56</v>
      </c>
      <c r="CC151" s="160" t="s">
        <v>56</v>
      </c>
      <c r="CD151" s="160" t="s">
        <v>56</v>
      </c>
      <c r="CE151" s="160" t="s">
        <v>56</v>
      </c>
      <c r="CF151" s="160" t="s">
        <v>56</v>
      </c>
      <c r="CG151" s="160" t="s">
        <v>56</v>
      </c>
      <c r="CH151" s="160" t="s">
        <v>56</v>
      </c>
      <c r="CI151" s="160" t="s">
        <v>56</v>
      </c>
      <c r="CJ151" s="160" t="s">
        <v>56</v>
      </c>
      <c r="CK151" s="160" t="s">
        <v>56</v>
      </c>
      <c r="CL151" s="160" t="s">
        <v>56</v>
      </c>
      <c r="CM151" s="160" t="s">
        <v>56</v>
      </c>
      <c r="CN151" s="160" t="s">
        <v>56</v>
      </c>
      <c r="CO151" s="160" t="s">
        <v>56</v>
      </c>
      <c r="CP151" s="160">
        <v>43</v>
      </c>
      <c r="CQ151" s="160" t="s">
        <v>56</v>
      </c>
      <c r="CR151" s="160" t="s">
        <v>56</v>
      </c>
      <c r="CS151" s="160" t="s">
        <v>56</v>
      </c>
      <c r="CT151" s="160">
        <v>33</v>
      </c>
      <c r="CU151" s="160">
        <v>21</v>
      </c>
      <c r="CV151" s="160">
        <v>39</v>
      </c>
      <c r="CW151" s="11"/>
      <c r="CX151" s="29">
        <f t="shared" si="2"/>
        <v>15000</v>
      </c>
      <c r="CY151" s="32" t="str">
        <f>HLOOKUP(CX128,BV128:CV154,24,FALSE)</f>
        <v>-</v>
      </c>
    </row>
    <row r="152" spans="73:103" ht="12.75">
      <c r="BU152" s="32">
        <f t="shared" si="1"/>
        <v>15500</v>
      </c>
      <c r="BV152" s="160" t="s">
        <v>56</v>
      </c>
      <c r="BW152" s="160" t="s">
        <v>56</v>
      </c>
      <c r="BX152" s="160" t="s">
        <v>56</v>
      </c>
      <c r="BY152" s="160" t="s">
        <v>56</v>
      </c>
      <c r="BZ152" s="160" t="s">
        <v>56</v>
      </c>
      <c r="CA152" s="160" t="s">
        <v>56</v>
      </c>
      <c r="CB152" s="160" t="s">
        <v>56</v>
      </c>
      <c r="CC152" s="160" t="s">
        <v>56</v>
      </c>
      <c r="CD152" s="160" t="s">
        <v>56</v>
      </c>
      <c r="CE152" s="160" t="s">
        <v>56</v>
      </c>
      <c r="CF152" s="160" t="s">
        <v>56</v>
      </c>
      <c r="CG152" s="160" t="s">
        <v>56</v>
      </c>
      <c r="CH152" s="160" t="s">
        <v>56</v>
      </c>
      <c r="CI152" s="160" t="s">
        <v>56</v>
      </c>
      <c r="CJ152" s="160" t="s">
        <v>56</v>
      </c>
      <c r="CK152" s="160" t="s">
        <v>56</v>
      </c>
      <c r="CL152" s="160" t="s">
        <v>56</v>
      </c>
      <c r="CM152" s="160" t="s">
        <v>56</v>
      </c>
      <c r="CN152" s="160" t="s">
        <v>56</v>
      </c>
      <c r="CO152" s="160" t="s">
        <v>56</v>
      </c>
      <c r="CP152" s="160">
        <v>46</v>
      </c>
      <c r="CQ152" s="160" t="s">
        <v>56</v>
      </c>
      <c r="CR152" s="160" t="s">
        <v>56</v>
      </c>
      <c r="CS152" s="160" t="s">
        <v>56</v>
      </c>
      <c r="CT152" s="160">
        <v>35</v>
      </c>
      <c r="CU152" s="160">
        <v>23</v>
      </c>
      <c r="CV152" s="160">
        <v>41</v>
      </c>
      <c r="CW152" s="11"/>
      <c r="CX152" s="29">
        <f t="shared" si="2"/>
        <v>15500</v>
      </c>
      <c r="CY152" s="32" t="str">
        <f>HLOOKUP(CX128,BV128:CV154,25,FALSE)</f>
        <v>-</v>
      </c>
    </row>
    <row r="153" spans="73:103" ht="12.75">
      <c r="BU153" s="32">
        <f t="shared" si="1"/>
        <v>16000</v>
      </c>
      <c r="BV153" s="160" t="s">
        <v>56</v>
      </c>
      <c r="BW153" s="160" t="s">
        <v>56</v>
      </c>
      <c r="BX153" s="160" t="s">
        <v>56</v>
      </c>
      <c r="BY153" s="160" t="s">
        <v>56</v>
      </c>
      <c r="BZ153" s="160" t="s">
        <v>56</v>
      </c>
      <c r="CA153" s="160" t="s">
        <v>56</v>
      </c>
      <c r="CB153" s="160" t="s">
        <v>56</v>
      </c>
      <c r="CC153" s="160" t="s">
        <v>56</v>
      </c>
      <c r="CD153" s="160" t="s">
        <v>56</v>
      </c>
      <c r="CE153" s="160" t="s">
        <v>56</v>
      </c>
      <c r="CF153" s="160" t="s">
        <v>56</v>
      </c>
      <c r="CG153" s="160" t="s">
        <v>56</v>
      </c>
      <c r="CH153" s="160" t="s">
        <v>56</v>
      </c>
      <c r="CI153" s="160" t="s">
        <v>56</v>
      </c>
      <c r="CJ153" s="160" t="s">
        <v>56</v>
      </c>
      <c r="CK153" s="160" t="s">
        <v>56</v>
      </c>
      <c r="CL153" s="160" t="s">
        <v>56</v>
      </c>
      <c r="CM153" s="160" t="s">
        <v>56</v>
      </c>
      <c r="CN153" s="160" t="s">
        <v>56</v>
      </c>
      <c r="CO153" s="160" t="s">
        <v>56</v>
      </c>
      <c r="CP153" s="160" t="s">
        <v>56</v>
      </c>
      <c r="CQ153" s="160" t="s">
        <v>56</v>
      </c>
      <c r="CR153" s="160" t="s">
        <v>56</v>
      </c>
      <c r="CS153" s="160" t="s">
        <v>56</v>
      </c>
      <c r="CT153" s="160" t="s">
        <v>56</v>
      </c>
      <c r="CU153" s="160" t="s">
        <v>56</v>
      </c>
      <c r="CV153" s="160">
        <v>44</v>
      </c>
      <c r="CW153" s="11"/>
      <c r="CX153" s="29">
        <f t="shared" si="2"/>
        <v>16000</v>
      </c>
      <c r="CY153" s="32" t="str">
        <f>HLOOKUP(CX128,BV128:CV154,26,FALSE)</f>
        <v>-</v>
      </c>
    </row>
    <row r="154" spans="73:103" ht="12.75">
      <c r="BU154" s="32">
        <f t="shared" si="1"/>
        <v>16500</v>
      </c>
      <c r="BV154" s="160" t="s">
        <v>56</v>
      </c>
      <c r="BW154" s="160" t="s">
        <v>56</v>
      </c>
      <c r="BX154" s="160" t="s">
        <v>56</v>
      </c>
      <c r="BY154" s="160" t="s">
        <v>56</v>
      </c>
      <c r="BZ154" s="160" t="s">
        <v>56</v>
      </c>
      <c r="CA154" s="160" t="s">
        <v>56</v>
      </c>
      <c r="CB154" s="160" t="s">
        <v>56</v>
      </c>
      <c r="CC154" s="160" t="s">
        <v>56</v>
      </c>
      <c r="CD154" s="160" t="s">
        <v>56</v>
      </c>
      <c r="CE154" s="160" t="s">
        <v>56</v>
      </c>
      <c r="CF154" s="160" t="s">
        <v>56</v>
      </c>
      <c r="CG154" s="160" t="s">
        <v>56</v>
      </c>
      <c r="CH154" s="160" t="s">
        <v>56</v>
      </c>
      <c r="CI154" s="160" t="s">
        <v>56</v>
      </c>
      <c r="CJ154" s="160" t="s">
        <v>56</v>
      </c>
      <c r="CK154" s="160" t="s">
        <v>56</v>
      </c>
      <c r="CL154" s="160" t="s">
        <v>56</v>
      </c>
      <c r="CM154" s="160" t="s">
        <v>56</v>
      </c>
      <c r="CN154" s="160" t="s">
        <v>56</v>
      </c>
      <c r="CO154" s="160" t="s">
        <v>56</v>
      </c>
      <c r="CP154" s="160" t="s">
        <v>56</v>
      </c>
      <c r="CQ154" s="160" t="s">
        <v>56</v>
      </c>
      <c r="CR154" s="160" t="s">
        <v>56</v>
      </c>
      <c r="CS154" s="160" t="s">
        <v>56</v>
      </c>
      <c r="CT154" s="160" t="s">
        <v>56</v>
      </c>
      <c r="CU154" s="160" t="s">
        <v>56</v>
      </c>
      <c r="CV154" s="160">
        <v>45</v>
      </c>
      <c r="CW154" s="11"/>
      <c r="CX154" s="29">
        <f t="shared" si="2"/>
        <v>16500</v>
      </c>
      <c r="CY154" s="32" t="str">
        <f>HLOOKUP(CX128,BV128:CV154,27,FALSE)</f>
        <v>-</v>
      </c>
    </row>
    <row r="155" spans="73:103" ht="12.75">
      <c r="BU155" s="11"/>
      <c r="BV155" s="11"/>
      <c r="BW155" s="11"/>
      <c r="BX155" s="11"/>
      <c r="BY155" s="45"/>
      <c r="BZ155" s="45"/>
      <c r="CA155" s="45"/>
      <c r="CB155" s="45"/>
      <c r="CC155" s="45"/>
      <c r="CD155" s="45"/>
      <c r="CE155" s="45"/>
      <c r="CF155" s="45"/>
      <c r="CG155" s="45"/>
      <c r="CH155" s="45"/>
      <c r="CI155" s="45"/>
      <c r="CJ155" s="45"/>
      <c r="CK155" s="45"/>
      <c r="CL155" s="45"/>
      <c r="CM155" s="45"/>
      <c r="CN155" s="45"/>
      <c r="CP155" s="45"/>
      <c r="CQ155" s="45"/>
      <c r="CR155" s="45"/>
      <c r="CS155" s="45"/>
      <c r="CT155" s="45"/>
      <c r="CU155" s="45"/>
      <c r="CV155" s="45"/>
      <c r="CW155" s="11"/>
      <c r="CX155" s="10"/>
      <c r="CY155" s="11"/>
    </row>
    <row r="156" spans="105:116" ht="12.75">
      <c r="DA156" s="279" t="s">
        <v>120</v>
      </c>
      <c r="DB156" s="269"/>
      <c r="DC156" s="269"/>
      <c r="DD156" s="269"/>
      <c r="DE156" s="269"/>
      <c r="DF156" s="269"/>
      <c r="DG156" s="269"/>
      <c r="DH156" s="269"/>
      <c r="DI156" s="269"/>
      <c r="DJ156" s="269"/>
      <c r="DK156" s="270"/>
      <c r="DL156" s="172" t="s">
        <v>123</v>
      </c>
    </row>
    <row r="157" spans="105:116" ht="12.75">
      <c r="DA157" s="177"/>
      <c r="DB157" s="276" t="s">
        <v>132</v>
      </c>
      <c r="DC157" s="277"/>
      <c r="DD157" s="277"/>
      <c r="DE157" s="278"/>
      <c r="DF157" s="178"/>
      <c r="DG157" s="276" t="s">
        <v>133</v>
      </c>
      <c r="DH157" s="277"/>
      <c r="DI157" s="277"/>
      <c r="DJ157" s="278"/>
      <c r="DK157" s="47"/>
      <c r="DL157" s="179" t="str">
        <f>IF('7030 Ballast Calculator'!D33=1,"Cast","Steel")</f>
        <v>Cast</v>
      </c>
    </row>
    <row r="158" spans="105:116" ht="12.75" customHeight="1">
      <c r="DA158" s="169"/>
      <c r="DB158" s="280" t="s">
        <v>113</v>
      </c>
      <c r="DC158" s="280"/>
      <c r="DD158" s="280" t="s">
        <v>114</v>
      </c>
      <c r="DE158" s="280"/>
      <c r="DF158" s="174"/>
      <c r="DG158" s="280" t="s">
        <v>113</v>
      </c>
      <c r="DH158" s="280"/>
      <c r="DI158" s="280" t="s">
        <v>114</v>
      </c>
      <c r="DJ158" s="280"/>
      <c r="DK158" s="48"/>
      <c r="DL158" s="181" t="str">
        <f>IF('7030 Ballast Calculator'!D29=1,"2WD","MFWD")</f>
        <v>MFWD</v>
      </c>
    </row>
    <row r="159" spans="105:116" ht="12.75">
      <c r="DA159" s="255" t="s">
        <v>116</v>
      </c>
      <c r="DB159" s="255" t="s">
        <v>117</v>
      </c>
      <c r="DC159" s="255" t="s">
        <v>118</v>
      </c>
      <c r="DD159" s="255" t="s">
        <v>117</v>
      </c>
      <c r="DE159" s="255" t="s">
        <v>118</v>
      </c>
      <c r="DF159" s="174"/>
      <c r="DG159" s="255" t="s">
        <v>117</v>
      </c>
      <c r="DH159" s="255" t="s">
        <v>118</v>
      </c>
      <c r="DI159" s="255" t="s">
        <v>117</v>
      </c>
      <c r="DJ159" s="255" t="s">
        <v>118</v>
      </c>
      <c r="DK159" s="48"/>
      <c r="DL159" s="182"/>
    </row>
    <row r="160" spans="105:116" ht="12.75" customHeight="1">
      <c r="DA160" s="255"/>
      <c r="DB160" s="255"/>
      <c r="DC160" s="255"/>
      <c r="DD160" s="255"/>
      <c r="DE160" s="255"/>
      <c r="DF160" s="174"/>
      <c r="DG160" s="255"/>
      <c r="DH160" s="255"/>
      <c r="DI160" s="255"/>
      <c r="DJ160" s="255"/>
      <c r="DK160" s="48"/>
      <c r="DL160" s="180"/>
    </row>
    <row r="161" spans="104:116" ht="12.75">
      <c r="CZ161" s="29">
        <v>1</v>
      </c>
      <c r="DA161" s="168" t="str">
        <f>IF('7030 Ballast Calculator'!D37=2,"216-230","")</f>
        <v>216-230</v>
      </c>
      <c r="DB161" s="168"/>
      <c r="DC161" s="168" t="s">
        <v>64</v>
      </c>
      <c r="DD161" s="168"/>
      <c r="DE161" s="168" t="s">
        <v>64</v>
      </c>
      <c r="DF161" s="175"/>
      <c r="DG161" s="168"/>
      <c r="DH161" s="168" t="s">
        <v>64</v>
      </c>
      <c r="DI161" s="168"/>
      <c r="DJ161" s="168" t="s">
        <v>64</v>
      </c>
      <c r="DK161" s="49"/>
      <c r="DL161" s="32" t="str">
        <f>IF('7030 Ballast Calculator'!D33=1,IF('7030 Ballast Calculator'!D29=1,DC161,DE161),IF('7030 Ballast Calculator'!D29=1,DH161,DJ161))</f>
        <v>NONE</v>
      </c>
    </row>
    <row r="162" spans="104:116" ht="12.75">
      <c r="CZ162" s="29">
        <v>2</v>
      </c>
      <c r="DA162" s="168" t="str">
        <f>IF('7030 Ballast Calculator'!D37=2,"231-245","")</f>
        <v>231-245</v>
      </c>
      <c r="DB162" s="168"/>
      <c r="DC162" s="168" t="s">
        <v>64</v>
      </c>
      <c r="DD162" s="168"/>
      <c r="DE162" s="168" t="s">
        <v>64</v>
      </c>
      <c r="DF162" s="175"/>
      <c r="DG162" s="168"/>
      <c r="DH162" s="168" t="s">
        <v>64</v>
      </c>
      <c r="DI162" s="168"/>
      <c r="DJ162" s="168" t="s">
        <v>64</v>
      </c>
      <c r="DK162" s="49"/>
      <c r="DL162" s="32" t="str">
        <f>IF('7030 Ballast Calculator'!D33=1,IF('7030 Ballast Calculator'!D30=1,DC162,DE162),IF('7030 Ballast Calculator'!D30=1,DH162,DJ162))</f>
        <v>NONE</v>
      </c>
    </row>
    <row r="163" spans="104:116" ht="12.75">
      <c r="CZ163" s="29">
        <v>3</v>
      </c>
      <c r="DA163" s="168" t="str">
        <f>IF('7030 Ballast Calculator'!D37=2,"246-260","")</f>
        <v>246-260</v>
      </c>
      <c r="DB163" s="168" t="s">
        <v>115</v>
      </c>
      <c r="DC163" s="168">
        <v>9401</v>
      </c>
      <c r="DD163" s="168"/>
      <c r="DE163" s="168" t="s">
        <v>64</v>
      </c>
      <c r="DF163" s="175"/>
      <c r="DG163" s="168" t="s">
        <v>115</v>
      </c>
      <c r="DH163" s="168">
        <v>9401</v>
      </c>
      <c r="DI163" s="168"/>
      <c r="DJ163" s="168" t="s">
        <v>64</v>
      </c>
      <c r="DK163" s="49"/>
      <c r="DL163" s="32" t="str">
        <f>IF('7030 Ballast Calculator'!D33=1,IF('7030 Ballast Calculator'!D31=1,DC163,DE163),IF('7030 Ballast Calculator'!D31=1,DH163,DJ163))</f>
        <v>NONE</v>
      </c>
    </row>
    <row r="164" spans="104:116" ht="12.75">
      <c r="CZ164" s="29">
        <v>4</v>
      </c>
      <c r="DA164" s="168" t="str">
        <f>IF('7030 Ballast Calculator'!D37=2,"261-275","")</f>
        <v>261-275</v>
      </c>
      <c r="DB164" s="168">
        <v>2</v>
      </c>
      <c r="DC164" s="168">
        <v>9404</v>
      </c>
      <c r="DD164" s="168"/>
      <c r="DE164" s="168" t="s">
        <v>64</v>
      </c>
      <c r="DF164" s="175"/>
      <c r="DG164" s="168">
        <v>2</v>
      </c>
      <c r="DH164" s="168">
        <v>9404</v>
      </c>
      <c r="DI164" s="168"/>
      <c r="DJ164" s="168" t="s">
        <v>64</v>
      </c>
      <c r="DK164" s="49"/>
      <c r="DL164" s="32" t="str">
        <f>IF('7030 Ballast Calculator'!D35=1,IF('7030 Ballast Calculator'!D32=1,DC164,DE164),IF('7030 Ballast Calculator'!D32=1,DH164,DJ164))</f>
        <v>NONE</v>
      </c>
    </row>
    <row r="165" spans="104:116" ht="12.75">
      <c r="CZ165" s="29">
        <v>5</v>
      </c>
      <c r="DA165" s="168" t="str">
        <f>IF('7030 Ballast Calculator'!D37=2,"276-290","")</f>
        <v>276-290</v>
      </c>
      <c r="DB165" s="168">
        <v>4</v>
      </c>
      <c r="DC165" s="168">
        <v>9404</v>
      </c>
      <c r="DD165" s="168"/>
      <c r="DE165" s="168" t="s">
        <v>64</v>
      </c>
      <c r="DF165" s="175"/>
      <c r="DG165" s="168">
        <v>4</v>
      </c>
      <c r="DH165" s="168">
        <v>9404</v>
      </c>
      <c r="DI165" s="168"/>
      <c r="DJ165" s="168" t="s">
        <v>64</v>
      </c>
      <c r="DK165" s="49"/>
      <c r="DL165" s="32">
        <f>IF('7030 Ballast Calculator'!D33=1,IF('7030 Ballast Calculator'!D33=1,DC165,DE165),IF('7030 Ballast Calculator'!D33=1,DH165,DJ165))</f>
        <v>9404</v>
      </c>
    </row>
    <row r="166" spans="104:116" ht="12.75">
      <c r="CZ166" s="29">
        <v>6</v>
      </c>
      <c r="DA166" s="168" t="str">
        <f>IF('7030 Ballast Calculator'!D37=2,"291-305","")</f>
        <v>291-305</v>
      </c>
      <c r="DB166" s="168">
        <v>6</v>
      </c>
      <c r="DC166" s="168">
        <v>9408</v>
      </c>
      <c r="DD166" s="168"/>
      <c r="DE166" s="168" t="s">
        <v>64</v>
      </c>
      <c r="DF166" s="175"/>
      <c r="DG166" s="168">
        <v>6</v>
      </c>
      <c r="DH166" s="168">
        <v>9408</v>
      </c>
      <c r="DI166" s="168"/>
      <c r="DJ166" s="168" t="s">
        <v>64</v>
      </c>
      <c r="DK166" s="49"/>
      <c r="DL166" s="32">
        <f>IF('7030 Ballast Calculator'!D33=1,IF('7030 Ballast Calculator'!D34=1,DC166,DE166),IF('7030 Ballast Calculator'!D34=1,DH166,DJ166))</f>
        <v>9408</v>
      </c>
    </row>
    <row r="167" spans="104:116" ht="12.75">
      <c r="CZ167" s="29">
        <v>7</v>
      </c>
      <c r="DA167" s="168" t="str">
        <f>IF('7030 Ballast Calculator'!D37=2,"306-320","")</f>
        <v>306-320</v>
      </c>
      <c r="DB167" s="168">
        <v>8</v>
      </c>
      <c r="DC167" s="168">
        <v>9408</v>
      </c>
      <c r="DD167" s="168"/>
      <c r="DE167" s="168" t="s">
        <v>64</v>
      </c>
      <c r="DF167" s="175"/>
      <c r="DG167" s="168">
        <v>8</v>
      </c>
      <c r="DH167" s="168">
        <v>9408</v>
      </c>
      <c r="DI167" s="168"/>
      <c r="DJ167" s="168" t="s">
        <v>64</v>
      </c>
      <c r="DK167" s="49"/>
      <c r="DL167" s="32" t="str">
        <f>IF('7030 Ballast Calculator'!D33=1,IF('7030 Ballast Calculator'!D35=1,DC167,DE167),IF('7030 Ballast Calculator'!D35=1,DH167,DJ167))</f>
        <v>NONE</v>
      </c>
    </row>
    <row r="168" spans="104:116" ht="12.75">
      <c r="CZ168" s="29">
        <v>8</v>
      </c>
      <c r="DA168" s="168" t="str">
        <f>IF('7030 Ballast Calculator'!D37=2,"321-335","")</f>
        <v>321-335</v>
      </c>
      <c r="DB168" s="168">
        <v>10</v>
      </c>
      <c r="DC168" s="168">
        <v>9412</v>
      </c>
      <c r="DD168" s="168" t="s">
        <v>115</v>
      </c>
      <c r="DE168" s="168">
        <v>9401</v>
      </c>
      <c r="DF168" s="175"/>
      <c r="DG168" s="168">
        <v>10</v>
      </c>
      <c r="DH168" s="168">
        <v>9412</v>
      </c>
      <c r="DI168" s="168" t="s">
        <v>115</v>
      </c>
      <c r="DJ168" s="168">
        <v>9401</v>
      </c>
      <c r="DK168" s="49"/>
      <c r="DL168" s="32">
        <f>IF('7030 Ballast Calculator'!D33=1,IF('7030 Ballast Calculator'!D36=1,DC168,DE168),IF('7030 Ballast Calculator'!D36=1,DH168,DJ168))</f>
        <v>9401</v>
      </c>
    </row>
    <row r="169" spans="104:116" ht="12.75">
      <c r="CZ169" s="29">
        <v>9</v>
      </c>
      <c r="DA169" s="168" t="str">
        <f>IF('7030 Ballast Calculator'!D37=2,"336-350","")</f>
        <v>336-350</v>
      </c>
      <c r="DB169" s="168">
        <v>12</v>
      </c>
      <c r="DC169" s="168">
        <v>9412</v>
      </c>
      <c r="DD169" s="168">
        <v>2</v>
      </c>
      <c r="DE169" s="168">
        <v>9404</v>
      </c>
      <c r="DF169" s="175"/>
      <c r="DG169" s="168">
        <v>12</v>
      </c>
      <c r="DH169" s="168">
        <v>9412</v>
      </c>
      <c r="DI169" s="168">
        <v>2</v>
      </c>
      <c r="DJ169" s="168">
        <v>9404</v>
      </c>
      <c r="DK169" s="49"/>
      <c r="DL169" s="32">
        <f>IF('7030 Ballast Calculator'!D33=1,IF('7030 Ballast Calculator'!D37=1,DC169,DE169),IF('7030 Ballast Calculator'!D37=1,DH169,DJ169))</f>
        <v>9404</v>
      </c>
    </row>
    <row r="170" spans="104:116" ht="12.75">
      <c r="CZ170" s="29">
        <v>10</v>
      </c>
      <c r="DA170" s="168" t="str">
        <f>IF('7030 Ballast Calculator'!D37=2,"351-365","")</f>
        <v>351-365</v>
      </c>
      <c r="DB170" s="168">
        <v>14</v>
      </c>
      <c r="DC170" s="168" t="s">
        <v>134</v>
      </c>
      <c r="DD170" s="168">
        <v>4</v>
      </c>
      <c r="DE170" s="168">
        <v>9404</v>
      </c>
      <c r="DF170" s="175"/>
      <c r="DG170" s="168">
        <v>14</v>
      </c>
      <c r="DH170" s="168" t="s">
        <v>138</v>
      </c>
      <c r="DI170" s="168">
        <v>4</v>
      </c>
      <c r="DJ170" s="168">
        <v>9404</v>
      </c>
      <c r="DK170" s="49"/>
      <c r="DL170" s="32">
        <f>IF('7030 Ballast Calculator'!D33=1,IF('7030 Ballast Calculator'!D38=1,DC170,DE170),IF('7030 Ballast Calculator'!D38=1,DH170,DJ170))</f>
        <v>9404</v>
      </c>
    </row>
    <row r="171" spans="104:116" ht="12.75">
      <c r="CZ171" s="29">
        <v>11</v>
      </c>
      <c r="DA171" s="168" t="str">
        <f>IF('7030 Ballast Calculator'!D37=2,"366-380","")</f>
        <v>366-380</v>
      </c>
      <c r="DB171" s="168">
        <v>16</v>
      </c>
      <c r="DC171" s="168" t="s">
        <v>134</v>
      </c>
      <c r="DD171" s="168">
        <v>6</v>
      </c>
      <c r="DE171" s="168">
        <v>9408</v>
      </c>
      <c r="DF171" s="175"/>
      <c r="DG171" s="168">
        <v>16</v>
      </c>
      <c r="DH171" s="168" t="s">
        <v>138</v>
      </c>
      <c r="DI171" s="168">
        <v>6</v>
      </c>
      <c r="DJ171" s="168">
        <v>9408</v>
      </c>
      <c r="DK171" s="49"/>
      <c r="DL171" s="32">
        <f>IF('7030 Ballast Calculator'!D33=1,IF('7030 Ballast Calculator'!D39=1,DC171,DE171),IF('7030 Ballast Calculator'!D39=1,DH171,DJ171))</f>
        <v>9408</v>
      </c>
    </row>
    <row r="172" spans="104:116" ht="12.75">
      <c r="CZ172" s="29">
        <v>12</v>
      </c>
      <c r="DA172" s="168" t="str">
        <f>IF('7030 Ballast Calculator'!D37=2,"381-395","")</f>
        <v>381-395</v>
      </c>
      <c r="DB172" s="168">
        <v>18</v>
      </c>
      <c r="DC172" s="168" t="s">
        <v>135</v>
      </c>
      <c r="DD172" s="168">
        <v>8</v>
      </c>
      <c r="DE172" s="168">
        <v>9408</v>
      </c>
      <c r="DF172" s="175"/>
      <c r="DG172" s="168">
        <v>18</v>
      </c>
      <c r="DH172" s="168" t="s">
        <v>139</v>
      </c>
      <c r="DI172" s="168">
        <v>8</v>
      </c>
      <c r="DJ172" s="168">
        <v>9408</v>
      </c>
      <c r="DK172" s="49"/>
      <c r="DL172" s="32">
        <f>IF('7030 Ballast Calculator'!D33=1,IF('7030 Ballast Calculator'!D40=1,DC172,DE172),IF('7030 Ballast Calculator'!D40=1,DH172,DJ172))</f>
        <v>9408</v>
      </c>
    </row>
    <row r="173" spans="104:116" ht="12.75">
      <c r="CZ173" s="29">
        <v>13</v>
      </c>
      <c r="DA173" s="168" t="str">
        <f>IF('7030 Ballast Calculator'!D37=2,"396-410","")</f>
        <v>396-410</v>
      </c>
      <c r="DB173" s="168">
        <v>20</v>
      </c>
      <c r="DC173" s="168" t="s">
        <v>135</v>
      </c>
      <c r="DD173" s="168">
        <v>10</v>
      </c>
      <c r="DE173" s="168" t="s">
        <v>136</v>
      </c>
      <c r="DF173" s="175"/>
      <c r="DG173" s="168">
        <v>20</v>
      </c>
      <c r="DH173" s="168" t="s">
        <v>139</v>
      </c>
      <c r="DI173" s="168">
        <v>10</v>
      </c>
      <c r="DJ173" s="168" t="s">
        <v>140</v>
      </c>
      <c r="DK173" s="49"/>
      <c r="DL173" s="32" t="str">
        <f>IF('7030 Ballast Calculator'!D33=1,IF('7030 Ballast Calculator'!D41=1,DC173,DE173),IF('7030 Ballast Calculator'!D41=1,DH173,DJ173))</f>
        <v>9412 &amp; 9264</v>
      </c>
    </row>
    <row r="174" spans="104:116" ht="12.75">
      <c r="CZ174" s="29">
        <v>14</v>
      </c>
      <c r="DA174" s="168" t="str">
        <f>IF('7030 Ballast Calculator'!D37=2,"411-425","")</f>
        <v>411-425</v>
      </c>
      <c r="DB174" s="168"/>
      <c r="DC174" s="168" t="s">
        <v>85</v>
      </c>
      <c r="DD174" s="168">
        <v>12</v>
      </c>
      <c r="DE174" s="168" t="s">
        <v>136</v>
      </c>
      <c r="DF174" s="175"/>
      <c r="DG174" s="168"/>
      <c r="DH174" s="168" t="s">
        <v>85</v>
      </c>
      <c r="DI174" s="168">
        <v>12</v>
      </c>
      <c r="DJ174" s="168" t="s">
        <v>140</v>
      </c>
      <c r="DK174" s="49"/>
      <c r="DL174" s="32" t="str">
        <f>IF('7030 Ballast Calculator'!D33=1,IF('7030 Ballast Calculator'!D42=1,DC174,DE174),IF('7030 Ballast Calculator'!D42=1,DH174,DJ174))</f>
        <v>9412 &amp; 9264</v>
      </c>
    </row>
    <row r="175" spans="104:116" ht="12.75">
      <c r="CZ175" s="29">
        <v>15</v>
      </c>
      <c r="DA175" s="168" t="str">
        <f>IF('7030 Ballast Calculator'!D37=2,"426-440","")</f>
        <v>426-440</v>
      </c>
      <c r="DB175" s="168"/>
      <c r="DC175" s="168" t="s">
        <v>85</v>
      </c>
      <c r="DD175" s="168">
        <v>14</v>
      </c>
      <c r="DE175" s="168" t="s">
        <v>137</v>
      </c>
      <c r="DF175" s="175"/>
      <c r="DG175" s="168"/>
      <c r="DH175" s="168" t="s">
        <v>85</v>
      </c>
      <c r="DI175" s="168">
        <v>14</v>
      </c>
      <c r="DJ175" s="168" t="s">
        <v>141</v>
      </c>
      <c r="DK175" s="49"/>
      <c r="DL175" s="32" t="str">
        <f>IF('7030 Ballast Calculator'!D33=1,IF('7030 Ballast Calculator'!D43=1,DC175,DE175),IF('7030 Ballast Calculator'!D43=1,DH175,DJ175))</f>
        <v>N/A</v>
      </c>
    </row>
    <row r="176" spans="104:116" ht="12.75">
      <c r="CZ176" s="29">
        <v>16</v>
      </c>
      <c r="DA176" s="168" t="str">
        <f>IF('7030 Ballast Calculator'!D37=2,"441-455","")</f>
        <v>441-455</v>
      </c>
      <c r="DB176" s="168"/>
      <c r="DC176" s="168" t="s">
        <v>85</v>
      </c>
      <c r="DD176" s="168">
        <v>16</v>
      </c>
      <c r="DE176" s="168" t="s">
        <v>137</v>
      </c>
      <c r="DF176" s="175"/>
      <c r="DG176" s="168"/>
      <c r="DH176" s="168" t="s">
        <v>85</v>
      </c>
      <c r="DI176" s="168">
        <v>16</v>
      </c>
      <c r="DJ176" s="168" t="s">
        <v>141</v>
      </c>
      <c r="DK176" s="49"/>
      <c r="DL176" s="32" t="str">
        <f>IF('7030 Ballast Calculator'!D33=1,IF('7030 Ballast Calculator'!D44=1,DC176,DE176),IF('7030 Ballast Calculator'!D44=1,DH176,DJ176))</f>
        <v>9416 &amp; 9228</v>
      </c>
    </row>
    <row r="177" spans="104:116" ht="13.5" customHeight="1">
      <c r="CZ177" s="29">
        <v>17</v>
      </c>
      <c r="DA177" s="55" t="str">
        <f>IF('7030 Ballast Calculator'!D37=2,"456-470","")</f>
        <v>456-470</v>
      </c>
      <c r="DB177" s="55"/>
      <c r="DC177" s="168" t="s">
        <v>85</v>
      </c>
      <c r="DD177" s="55">
        <v>18</v>
      </c>
      <c r="DE177" s="168" t="s">
        <v>135</v>
      </c>
      <c r="DF177" s="175"/>
      <c r="DG177" s="55"/>
      <c r="DH177" s="168" t="s">
        <v>85</v>
      </c>
      <c r="DI177" s="55">
        <v>18</v>
      </c>
      <c r="DJ177" s="168" t="s">
        <v>142</v>
      </c>
      <c r="DK177" s="45"/>
      <c r="DL177" s="32" t="str">
        <f>IF('7030 Ballast Calculator'!D33=1,IF('7030 Ballast Calculator'!D45=1,DC177,DE177),IF('7030 Ballast Calculator'!D45=1,DH177,DJ177))</f>
        <v>9420 &amp; 9228</v>
      </c>
    </row>
    <row r="178" spans="104:116" ht="13.5" customHeight="1">
      <c r="CZ178" s="29">
        <v>18</v>
      </c>
      <c r="DA178" s="55" t="str">
        <f>IF('7030 Ballast Calculator'!D37=2,"471-485","")</f>
        <v>471-485</v>
      </c>
      <c r="DB178" s="55"/>
      <c r="DC178" s="168" t="s">
        <v>85</v>
      </c>
      <c r="DD178" s="55">
        <v>20</v>
      </c>
      <c r="DE178" s="168" t="s">
        <v>135</v>
      </c>
      <c r="DF178" s="175"/>
      <c r="DG178" s="55"/>
      <c r="DH178" s="168" t="s">
        <v>85</v>
      </c>
      <c r="DI178" s="55">
        <v>20</v>
      </c>
      <c r="DJ178" s="168" t="s">
        <v>142</v>
      </c>
      <c r="DK178" s="45"/>
      <c r="DL178" s="32" t="str">
        <f>IF('7030 Ballast Calculator'!D33=1,IF('7030 Ballast Calculator'!D46=1,DC178,DE178),IF('7030 Ballast Calculator'!D46=1,DH178,DJ178))</f>
        <v>9420 &amp; 9228</v>
      </c>
    </row>
    <row r="179" spans="104:116" ht="12.75">
      <c r="CZ179" s="29">
        <v>19</v>
      </c>
      <c r="DA179" s="55" t="str">
        <f>IF('7030 Ballast Calculator'!D37=2,"486-500","")</f>
        <v>486-500</v>
      </c>
      <c r="DB179" s="55"/>
      <c r="DC179" s="168" t="s">
        <v>85</v>
      </c>
      <c r="DD179" s="55"/>
      <c r="DE179" s="55" t="s">
        <v>85</v>
      </c>
      <c r="DF179" s="176"/>
      <c r="DG179" s="55"/>
      <c r="DH179" s="168" t="s">
        <v>85</v>
      </c>
      <c r="DI179" s="55"/>
      <c r="DJ179" s="55" t="s">
        <v>85</v>
      </c>
      <c r="DK179" s="45"/>
      <c r="DL179" s="32" t="str">
        <f>IF('7030 Ballast Calculator'!D33=1,IF('7030 Ballast Calculator'!D47=1,DC179,DE179),IF('7030 Ballast Calculator'!D47=1,DH179,DJ179))</f>
        <v>N/A</v>
      </c>
    </row>
    <row r="180" spans="104:116" ht="12.75">
      <c r="CZ180" s="29">
        <v>20</v>
      </c>
      <c r="DA180" s="55" t="str">
        <f>IF('7030 Ballast Calculator'!D37=2,"501-515","")</f>
        <v>501-515</v>
      </c>
      <c r="DB180" s="55"/>
      <c r="DC180" s="168" t="s">
        <v>85</v>
      </c>
      <c r="DD180" s="55"/>
      <c r="DE180" s="55" t="s">
        <v>85</v>
      </c>
      <c r="DF180" s="176"/>
      <c r="DG180" s="55"/>
      <c r="DH180" s="168" t="s">
        <v>85</v>
      </c>
      <c r="DI180" s="55"/>
      <c r="DJ180" s="55" t="s">
        <v>85</v>
      </c>
      <c r="DK180" s="45"/>
      <c r="DL180" s="32" t="str">
        <f>IF('7030 Ballast Calculator'!D33=1,IF('7030 Ballast Calculator'!D49=1,DC180,DE180),IF('7030 Ballast Calculator'!D49=1,DH180,DJ180))</f>
        <v>N/A</v>
      </c>
    </row>
    <row r="181" spans="104:116" ht="12.75">
      <c r="CZ181" s="29">
        <v>21</v>
      </c>
      <c r="DA181" s="55" t="str">
        <f>IF('7030 Ballast Calculator'!D37=2,"516-530","")</f>
        <v>516-530</v>
      </c>
      <c r="DB181" s="55"/>
      <c r="DC181" s="168" t="s">
        <v>85</v>
      </c>
      <c r="DD181" s="55"/>
      <c r="DE181" s="55" t="s">
        <v>85</v>
      </c>
      <c r="DF181" s="176"/>
      <c r="DG181" s="55"/>
      <c r="DH181" s="168" t="s">
        <v>85</v>
      </c>
      <c r="DI181" s="55"/>
      <c r="DJ181" s="55" t="s">
        <v>85</v>
      </c>
      <c r="DK181" s="45"/>
      <c r="DL181" s="32" t="str">
        <f>IF('7030 Ballast Calculator'!D33=1,IF('7030 Ballast Calculator'!D50=1,DC181,DE181),IF('7030 Ballast Calculator'!D50=1,DH181,DJ181))</f>
        <v>N/A</v>
      </c>
    </row>
    <row r="182" spans="104:116" ht="12.75">
      <c r="CZ182" s="29">
        <v>22</v>
      </c>
      <c r="DA182" s="55" t="str">
        <f>IF('7030 Ballast Calculator'!D37=2,"531-545","")</f>
        <v>531-545</v>
      </c>
      <c r="DB182" s="55"/>
      <c r="DC182" s="168" t="s">
        <v>85</v>
      </c>
      <c r="DD182" s="55"/>
      <c r="DE182" s="55" t="s">
        <v>85</v>
      </c>
      <c r="DF182" s="176"/>
      <c r="DG182" s="55"/>
      <c r="DH182" s="168" t="s">
        <v>85</v>
      </c>
      <c r="DI182" s="55"/>
      <c r="DJ182" s="55" t="s">
        <v>85</v>
      </c>
      <c r="DK182" s="45"/>
      <c r="DL182" s="32" t="str">
        <f>IF('7030 Ballast Calculator'!D33=1,IF('7030 Ballast Calculator'!D51=1,DC182,DE182),IF('7030 Ballast Calculator'!D51=1,DH182,DJ182))</f>
        <v>N/A</v>
      </c>
    </row>
    <row r="183" spans="104:116" ht="12.75">
      <c r="CZ183" s="29">
        <v>23</v>
      </c>
      <c r="DA183" s="55" t="str">
        <f>IF('7030 Ballast Calculator'!D37=2,"546-560","")</f>
        <v>546-560</v>
      </c>
      <c r="DB183" s="55"/>
      <c r="DC183" s="168" t="s">
        <v>85</v>
      </c>
      <c r="DD183" s="55"/>
      <c r="DE183" s="55" t="s">
        <v>85</v>
      </c>
      <c r="DF183" s="176"/>
      <c r="DG183" s="55"/>
      <c r="DH183" s="168" t="s">
        <v>85</v>
      </c>
      <c r="DI183" s="55"/>
      <c r="DJ183" s="55" t="s">
        <v>85</v>
      </c>
      <c r="DK183" s="45"/>
      <c r="DL183" s="32" t="str">
        <f>IF('7030 Ballast Calculator'!D33=1,IF('7030 Ballast Calculator'!D52=1,DC183,DE183),IF('7030 Ballast Calculator'!D52=1,DH183,DJ183))</f>
        <v>N/A</v>
      </c>
    </row>
    <row r="185" spans="118:121" ht="12.75">
      <c r="DN185" s="254" t="s">
        <v>119</v>
      </c>
      <c r="DO185" s="254"/>
      <c r="DP185" s="254"/>
      <c r="DQ185" s="254"/>
    </row>
    <row r="186" spans="118:121" ht="12.75">
      <c r="DN186" s="163" t="s">
        <v>121</v>
      </c>
      <c r="DO186" s="163" t="s">
        <v>122</v>
      </c>
      <c r="DQ186" s="163" t="s">
        <v>123</v>
      </c>
    </row>
    <row r="187" spans="118:121" ht="12.75">
      <c r="DN187" s="89" t="str">
        <f>IF('7030 Ballast Calculator'!D34=2,"9228 &amp; 9292","9228 &amp; 9283")</f>
        <v>9228 &amp; 9283</v>
      </c>
      <c r="DO187" s="89" t="str">
        <f>IF('7030 Ballast Calculator'!D34=2,"9278 &amp; 9289","9278 &amp; 9283")</f>
        <v>9278 &amp; 9283</v>
      </c>
      <c r="DQ187" s="29" t="str">
        <f>IF('7030 Ballast Calculator'!D33=2,'7030 Wheel Data Sheet'!DO187,'7030 Wheel Data Sheet'!DN187)</f>
        <v>9228 &amp; 9283</v>
      </c>
    </row>
  </sheetData>
  <sheetProtection password="CBE5" sheet="1" objects="1" scenarios="1"/>
  <mergeCells count="31">
    <mergeCell ref="DB157:DE157"/>
    <mergeCell ref="DG157:DJ157"/>
    <mergeCell ref="DA156:DK156"/>
    <mergeCell ref="DG158:DH158"/>
    <mergeCell ref="DI158:DJ158"/>
    <mergeCell ref="DB158:DC158"/>
    <mergeCell ref="DD158:DE158"/>
    <mergeCell ref="O17:V17"/>
    <mergeCell ref="AH17:AI17"/>
    <mergeCell ref="J12:K12"/>
    <mergeCell ref="L16:AF16"/>
    <mergeCell ref="Y17:AF17"/>
    <mergeCell ref="AJ42:AQ42"/>
    <mergeCell ref="CX128:CY128"/>
    <mergeCell ref="AR64:BP64"/>
    <mergeCell ref="BO65:BP65"/>
    <mergeCell ref="BO66:BP66"/>
    <mergeCell ref="BQ99:BS99"/>
    <mergeCell ref="BU127:CY127"/>
    <mergeCell ref="AS65:AY65"/>
    <mergeCell ref="BB65:BM65"/>
    <mergeCell ref="DN185:DQ185"/>
    <mergeCell ref="DD159:DD160"/>
    <mergeCell ref="DE159:DE160"/>
    <mergeCell ref="DA159:DA160"/>
    <mergeCell ref="DB159:DB160"/>
    <mergeCell ref="DC159:DC160"/>
    <mergeCell ref="DG159:DG160"/>
    <mergeCell ref="DH159:DH160"/>
    <mergeCell ref="DI159:DI160"/>
    <mergeCell ref="DJ159:DJ160"/>
  </mergeCells>
  <printOptions/>
  <pageMargins left="0.75" right="0.75" top="1" bottom="1" header="0.5" footer="0.5"/>
  <pageSetup horizontalDpi="600" verticalDpi="600" orientation="portrait" r:id="rId3"/>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Deere Waterloo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8030 Ballast Calculator</dc:title>
  <dc:subject/>
  <dc:creator>John Nees</dc:creator>
  <cp:keywords/>
  <dc:description/>
  <cp:lastModifiedBy>Sapient</cp:lastModifiedBy>
  <cp:lastPrinted>2006-09-28T16:08:42Z</cp:lastPrinted>
  <dcterms:created xsi:type="dcterms:W3CDTF">1998-08-07T15:41:00Z</dcterms:created>
  <dcterms:modified xsi:type="dcterms:W3CDTF">2011-06-24T16:04:57Z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